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mes Cartwright\Canoe Kayak Canada\Slalom High Performance - Documents\NT Trials Rankings\"/>
    </mc:Choice>
  </mc:AlternateContent>
  <xr:revisionPtr revIDLastSave="703" documentId="8_{7AA910DF-2499-4C68-91EC-27E8A8E9FAF2}" xr6:coauthVersionLast="36" xr6:coauthVersionMax="36" xr10:uidLastSave="{8CCD62EE-D8CF-4C3E-9D05-39FBF14A2552}"/>
  <bookViews>
    <workbookView xWindow="-120" yWindow="-120" windowWidth="20730" windowHeight="11160" activeTab="11" xr2:uid="{00000000-000D-0000-FFFF-FFFF00000000}"/>
  </bookViews>
  <sheets>
    <sheet name="2019 OKC Results" sheetId="2" r:id="rId1"/>
    <sheet name="2018 Kananaskis PB" sheetId="37" r:id="rId2"/>
    <sheet name="2019 Slalom Team" sheetId="24" r:id="rId3"/>
    <sheet name="K1M" sheetId="5" r:id="rId4"/>
    <sheet name="K1M (U23)" sheetId="27" r:id="rId5"/>
    <sheet name="K1M (JR)" sheetId="28" r:id="rId6"/>
    <sheet name="K1W" sheetId="14" r:id="rId7"/>
    <sheet name="K1W (U23)" sheetId="29" r:id="rId8"/>
    <sheet name="K1W (JR)" sheetId="30" r:id="rId9"/>
    <sheet name="C1M" sheetId="15" r:id="rId10"/>
    <sheet name="C1M (U23)" sheetId="31" state="hidden" r:id="rId11"/>
    <sheet name="C1M (JR)" sheetId="32" r:id="rId12"/>
    <sheet name="C1W" sheetId="16" r:id="rId13"/>
    <sheet name="C1W (U23)" sheetId="33" r:id="rId14"/>
    <sheet name="Sheet1" sheetId="36" state="hidden" r:id="rId15"/>
    <sheet name="C2" sheetId="17" state="hidden" r:id="rId16"/>
    <sheet name="C2 (U23)" sheetId="35" state="hidden" r:id="rId17"/>
  </sheets>
  <definedNames>
    <definedName name="_xlnm._FilterDatabase" localSheetId="1" hidden="1">'2018 Kananaskis PB'!$G$1:$G$45</definedName>
    <definedName name="_xlnm.Print_Area" localSheetId="0">'2019 OKC Results'!$C$10:$J$33</definedName>
    <definedName name="_xlnm.Print_Area" localSheetId="2">'2019 Slalom Team'!$A$1:$E$26</definedName>
    <definedName name="_xlnm.Print_Area" localSheetId="9">'C1M'!$A$1:$S$13</definedName>
    <definedName name="_xlnm.Print_Area" localSheetId="11">'C1M (JR)'!$A$1:$S$10</definedName>
    <definedName name="_xlnm.Print_Area" localSheetId="10">'C1M (U23)'!$A$1:$S$11</definedName>
    <definedName name="_xlnm.Print_Area" localSheetId="12">'C1W'!$A$1:$S$9</definedName>
    <definedName name="_xlnm.Print_Area" localSheetId="13">'C1W (U23)'!$A$1:$S$8</definedName>
    <definedName name="_xlnm.Print_Area" localSheetId="15">'C2'!$A$1:$S$9</definedName>
    <definedName name="_xlnm.Print_Area" localSheetId="16">'C2 (U23)'!$A$1:$R$9</definedName>
    <definedName name="_xlnm.Print_Area" localSheetId="3">K1M!$A$1:$S$19</definedName>
    <definedName name="_xlnm.Print_Area" localSheetId="5">'K1M (JR)'!$A$1:$S$14</definedName>
    <definedName name="_xlnm.Print_Area" localSheetId="4">'K1M (U23)'!$A$1:$S$17</definedName>
    <definedName name="_xlnm.Print_Area" localSheetId="6">K1W!$A$1:$S$13</definedName>
    <definedName name="_xlnm.Print_Area" localSheetId="8">'K1W (JR)'!$A$1:$R$11</definedName>
    <definedName name="_xlnm.Print_Area" localSheetId="7">'K1W (U23)'!$A$1:$S$12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" i="32" l="1"/>
  <c r="M5" i="32"/>
  <c r="J5" i="32"/>
  <c r="P5" i="30"/>
  <c r="M5" i="30"/>
  <c r="J5" i="30"/>
  <c r="M5" i="29"/>
  <c r="J5" i="29"/>
  <c r="G5" i="29"/>
  <c r="P8" i="30"/>
  <c r="P7" i="30"/>
  <c r="P6" i="30"/>
  <c r="M8" i="30"/>
  <c r="M7" i="30"/>
  <c r="M6" i="30"/>
  <c r="J6" i="30"/>
  <c r="J7" i="30"/>
  <c r="J8" i="30"/>
  <c r="I5" i="30"/>
  <c r="J11" i="28"/>
  <c r="J5" i="28"/>
  <c r="G5" i="28"/>
  <c r="J6" i="28"/>
  <c r="R6" i="28"/>
  <c r="R5" i="28"/>
  <c r="M5" i="28"/>
  <c r="M6" i="28"/>
  <c r="P6" i="28"/>
  <c r="P5" i="28"/>
  <c r="B5" i="27" l="1"/>
  <c r="C5" i="27"/>
  <c r="D5" i="27"/>
  <c r="E5" i="27"/>
  <c r="F5" i="27"/>
  <c r="I5" i="27"/>
  <c r="L5" i="27"/>
  <c r="O5" i="27"/>
  <c r="B8" i="27"/>
  <c r="C8" i="27"/>
  <c r="D8" i="27"/>
  <c r="E8" i="27"/>
  <c r="F8" i="27"/>
  <c r="H8" i="27" s="1"/>
  <c r="I8" i="27"/>
  <c r="L8" i="27"/>
  <c r="O8" i="27"/>
  <c r="B12" i="27"/>
  <c r="C12" i="27"/>
  <c r="D12" i="27"/>
  <c r="E12" i="27"/>
  <c r="F12" i="27"/>
  <c r="I12" i="27"/>
  <c r="L12" i="27"/>
  <c r="O12" i="27"/>
  <c r="B10" i="27"/>
  <c r="C10" i="27"/>
  <c r="D10" i="27"/>
  <c r="E10" i="27"/>
  <c r="F10" i="27"/>
  <c r="I10" i="27"/>
  <c r="L10" i="27"/>
  <c r="O10" i="27"/>
  <c r="B13" i="27"/>
  <c r="C13" i="27"/>
  <c r="D13" i="27"/>
  <c r="E13" i="27"/>
  <c r="F13" i="27"/>
  <c r="I13" i="27"/>
  <c r="L13" i="27"/>
  <c r="O13" i="27"/>
  <c r="B14" i="27"/>
  <c r="C14" i="27"/>
  <c r="D14" i="27"/>
  <c r="E14" i="27"/>
  <c r="F14" i="27"/>
  <c r="I14" i="27"/>
  <c r="L14" i="27"/>
  <c r="O14" i="27"/>
  <c r="B11" i="27"/>
  <c r="C11" i="27"/>
  <c r="D11" i="27"/>
  <c r="E11" i="27"/>
  <c r="F11" i="27"/>
  <c r="I11" i="27"/>
  <c r="L11" i="27"/>
  <c r="O11" i="27"/>
  <c r="B9" i="27"/>
  <c r="C9" i="27"/>
  <c r="D9" i="27"/>
  <c r="E9" i="27"/>
  <c r="F9" i="27"/>
  <c r="I9" i="27"/>
  <c r="L9" i="27"/>
  <c r="O9" i="27"/>
  <c r="B6" i="27"/>
  <c r="C6" i="27"/>
  <c r="D6" i="27"/>
  <c r="E6" i="27"/>
  <c r="F6" i="27"/>
  <c r="I6" i="27"/>
  <c r="K8" i="27" s="1"/>
  <c r="L6" i="27"/>
  <c r="O6" i="27"/>
  <c r="O7" i="27"/>
  <c r="L7" i="27"/>
  <c r="I7" i="27"/>
  <c r="F7" i="27"/>
  <c r="C7" i="27"/>
  <c r="D7" i="27"/>
  <c r="E7" i="27"/>
  <c r="B7" i="27"/>
  <c r="B14" i="5"/>
  <c r="C14" i="5"/>
  <c r="D14" i="5"/>
  <c r="E14" i="5"/>
  <c r="F14" i="5"/>
  <c r="G14" i="5" s="1"/>
  <c r="I14" i="5"/>
  <c r="J14" i="5" s="1"/>
  <c r="L14" i="5"/>
  <c r="M14" i="5"/>
  <c r="O14" i="5"/>
  <c r="P14" i="5" s="1"/>
  <c r="B12" i="5"/>
  <c r="C12" i="5"/>
  <c r="D12" i="5"/>
  <c r="E12" i="5"/>
  <c r="F12" i="5"/>
  <c r="G12" i="5"/>
  <c r="I12" i="5"/>
  <c r="J12" i="5" s="1"/>
  <c r="L12" i="5"/>
  <c r="O12" i="5"/>
  <c r="P12" i="5" s="1"/>
  <c r="B15" i="5"/>
  <c r="C15" i="5"/>
  <c r="D15" i="5"/>
  <c r="E15" i="5"/>
  <c r="F15" i="5"/>
  <c r="I15" i="5"/>
  <c r="J15" i="5" s="1"/>
  <c r="L15" i="5"/>
  <c r="M15" i="5" s="1"/>
  <c r="O15" i="5"/>
  <c r="P15" i="5" s="1"/>
  <c r="B16" i="5"/>
  <c r="C16" i="5"/>
  <c r="D16" i="5"/>
  <c r="E16" i="5"/>
  <c r="F16" i="5"/>
  <c r="G16" i="5"/>
  <c r="I16" i="5"/>
  <c r="J16" i="5" s="1"/>
  <c r="L16" i="5"/>
  <c r="O16" i="5"/>
  <c r="P16" i="5" s="1"/>
  <c r="B13" i="5"/>
  <c r="C13" i="5"/>
  <c r="D13" i="5"/>
  <c r="E13" i="5"/>
  <c r="F13" i="5"/>
  <c r="I13" i="5"/>
  <c r="J13" i="5" s="1"/>
  <c r="L13" i="5"/>
  <c r="M13" i="5" s="1"/>
  <c r="O13" i="5"/>
  <c r="P13" i="5" s="1"/>
  <c r="B11" i="5"/>
  <c r="C11" i="5"/>
  <c r="D11" i="5"/>
  <c r="E11" i="5"/>
  <c r="F11" i="5"/>
  <c r="G11" i="5"/>
  <c r="I11" i="5"/>
  <c r="J11" i="5" s="1"/>
  <c r="L11" i="5"/>
  <c r="O11" i="5"/>
  <c r="P11" i="5" s="1"/>
  <c r="B8" i="5"/>
  <c r="C8" i="5"/>
  <c r="D8" i="5"/>
  <c r="E8" i="5"/>
  <c r="F8" i="5"/>
  <c r="I8" i="5"/>
  <c r="J8" i="5" s="1"/>
  <c r="L8" i="5"/>
  <c r="M8" i="5" s="1"/>
  <c r="O8" i="5"/>
  <c r="P8" i="5" s="1"/>
  <c r="B7" i="5"/>
  <c r="C7" i="5"/>
  <c r="D7" i="5"/>
  <c r="E7" i="5"/>
  <c r="F7" i="5"/>
  <c r="G7" i="5"/>
  <c r="I7" i="5"/>
  <c r="J7" i="5" s="1"/>
  <c r="L7" i="5"/>
  <c r="O7" i="5"/>
  <c r="P7" i="5" s="1"/>
  <c r="B10" i="5"/>
  <c r="C10" i="5"/>
  <c r="D10" i="5"/>
  <c r="E10" i="5"/>
  <c r="F10" i="5"/>
  <c r="I10" i="5"/>
  <c r="J10" i="5" s="1"/>
  <c r="L10" i="5"/>
  <c r="M10" i="5" s="1"/>
  <c r="O10" i="5"/>
  <c r="P10" i="5" s="1"/>
  <c r="B6" i="5"/>
  <c r="C6" i="5"/>
  <c r="D6" i="5"/>
  <c r="E6" i="5"/>
  <c r="F6" i="5"/>
  <c r="G6" i="5"/>
  <c r="I6" i="5"/>
  <c r="J6" i="5" s="1"/>
  <c r="L6" i="5"/>
  <c r="O6" i="5"/>
  <c r="P6" i="5" s="1"/>
  <c r="B5" i="5"/>
  <c r="C5" i="5"/>
  <c r="D5" i="5"/>
  <c r="E5" i="5"/>
  <c r="F5" i="5"/>
  <c r="H6" i="5" s="1"/>
  <c r="I5" i="5"/>
  <c r="J5" i="5" s="1"/>
  <c r="L5" i="5"/>
  <c r="M5" i="5" s="1"/>
  <c r="N5" i="5"/>
  <c r="O5" i="5"/>
  <c r="P5" i="5" s="1"/>
  <c r="O9" i="5"/>
  <c r="L9" i="5"/>
  <c r="I9" i="5"/>
  <c r="F9" i="5"/>
  <c r="C9" i="5"/>
  <c r="D9" i="5"/>
  <c r="E9" i="5"/>
  <c r="B9" i="5"/>
  <c r="Q8" i="27" l="1"/>
  <c r="K5" i="27"/>
  <c r="N5" i="27"/>
  <c r="Q5" i="27"/>
  <c r="N8" i="27"/>
  <c r="S8" i="27" s="1"/>
  <c r="H5" i="27"/>
  <c r="H6" i="27"/>
  <c r="N6" i="27"/>
  <c r="N11" i="27"/>
  <c r="N13" i="27"/>
  <c r="N12" i="27"/>
  <c r="H9" i="27"/>
  <c r="H14" i="27"/>
  <c r="H10" i="27"/>
  <c r="Q6" i="27"/>
  <c r="Q11" i="27"/>
  <c r="K10" i="27"/>
  <c r="N9" i="27"/>
  <c r="H13" i="27"/>
  <c r="N10" i="27"/>
  <c r="H12" i="27"/>
  <c r="K9" i="27"/>
  <c r="Q13" i="27"/>
  <c r="Q12" i="27"/>
  <c r="N14" i="27"/>
  <c r="K6" i="27"/>
  <c r="Q9" i="27"/>
  <c r="K11" i="27"/>
  <c r="Q14" i="27"/>
  <c r="K13" i="27"/>
  <c r="Q10" i="27"/>
  <c r="K12" i="27"/>
  <c r="K14" i="27"/>
  <c r="H11" i="27"/>
  <c r="H12" i="5"/>
  <c r="H11" i="5"/>
  <c r="N15" i="5"/>
  <c r="H7" i="5"/>
  <c r="N13" i="5"/>
  <c r="H16" i="5"/>
  <c r="N14" i="5"/>
  <c r="N8" i="5"/>
  <c r="Q5" i="5"/>
  <c r="N10" i="5"/>
  <c r="R14" i="5"/>
  <c r="R6" i="5"/>
  <c r="K7" i="5"/>
  <c r="Q8" i="5"/>
  <c r="K11" i="5"/>
  <c r="Q13" i="5"/>
  <c r="Q14" i="5"/>
  <c r="H5" i="5"/>
  <c r="N6" i="5"/>
  <c r="H10" i="5"/>
  <c r="N7" i="5"/>
  <c r="H8" i="5"/>
  <c r="N11" i="5"/>
  <c r="H13" i="5"/>
  <c r="N16" i="5"/>
  <c r="H15" i="5"/>
  <c r="N12" i="5"/>
  <c r="H14" i="5"/>
  <c r="K6" i="5"/>
  <c r="Q10" i="5"/>
  <c r="K16" i="5"/>
  <c r="Q15" i="5"/>
  <c r="K12" i="5"/>
  <c r="K5" i="5"/>
  <c r="G5" i="5"/>
  <c r="R5" i="5" s="1"/>
  <c r="Q6" i="5"/>
  <c r="M6" i="5"/>
  <c r="K10" i="5"/>
  <c r="G10" i="5"/>
  <c r="R10" i="5" s="1"/>
  <c r="Q7" i="5"/>
  <c r="M7" i="5"/>
  <c r="R7" i="5" s="1"/>
  <c r="K8" i="5"/>
  <c r="G8" i="5"/>
  <c r="R8" i="5" s="1"/>
  <c r="Q11" i="5"/>
  <c r="M11" i="5"/>
  <c r="R11" i="5" s="1"/>
  <c r="K13" i="5"/>
  <c r="G13" i="5"/>
  <c r="R13" i="5" s="1"/>
  <c r="Q16" i="5"/>
  <c r="M16" i="5"/>
  <c r="R16" i="5" s="1"/>
  <c r="K15" i="5"/>
  <c r="G15" i="5"/>
  <c r="R15" i="5" s="1"/>
  <c r="Q12" i="5"/>
  <c r="S12" i="5" s="1"/>
  <c r="M12" i="5"/>
  <c r="R12" i="5" s="1"/>
  <c r="K14" i="5"/>
  <c r="B9" i="28"/>
  <c r="C9" i="28"/>
  <c r="D9" i="28"/>
  <c r="E9" i="28"/>
  <c r="F9" i="28"/>
  <c r="I9" i="28"/>
  <c r="L9" i="28"/>
  <c r="O9" i="28"/>
  <c r="B7" i="28"/>
  <c r="C7" i="28"/>
  <c r="D7" i="28"/>
  <c r="E7" i="28"/>
  <c r="F7" i="28"/>
  <c r="I7" i="28"/>
  <c r="L7" i="28"/>
  <c r="O7" i="28"/>
  <c r="B10" i="28"/>
  <c r="C10" i="28"/>
  <c r="D10" i="28"/>
  <c r="E10" i="28"/>
  <c r="F10" i="28"/>
  <c r="I10" i="28"/>
  <c r="L10" i="28"/>
  <c r="O10" i="28"/>
  <c r="B11" i="28"/>
  <c r="C11" i="28"/>
  <c r="D11" i="28"/>
  <c r="E11" i="28"/>
  <c r="F11" i="28"/>
  <c r="I11" i="28"/>
  <c r="L11" i="28"/>
  <c r="O11" i="28"/>
  <c r="B8" i="28"/>
  <c r="C8" i="28"/>
  <c r="D8" i="28"/>
  <c r="E8" i="28"/>
  <c r="F8" i="28"/>
  <c r="I8" i="28"/>
  <c r="L8" i="28"/>
  <c r="O8" i="28"/>
  <c r="B6" i="28"/>
  <c r="C6" i="28"/>
  <c r="D6" i="28"/>
  <c r="E6" i="28"/>
  <c r="F6" i="28"/>
  <c r="I6" i="28"/>
  <c r="L6" i="28"/>
  <c r="O6" i="28"/>
  <c r="S6" i="27" l="1"/>
  <c r="S5" i="27"/>
  <c r="S10" i="27"/>
  <c r="S14" i="27"/>
  <c r="S9" i="27"/>
  <c r="S11" i="27"/>
  <c r="S13" i="27"/>
  <c r="S12" i="27"/>
  <c r="S16" i="5"/>
  <c r="S11" i="5"/>
  <c r="S6" i="5"/>
  <c r="S7" i="5"/>
  <c r="S8" i="5"/>
  <c r="S5" i="5"/>
  <c r="S14" i="5"/>
  <c r="S13" i="5"/>
  <c r="S10" i="5"/>
  <c r="S15" i="5"/>
  <c r="L46" i="37"/>
  <c r="J46" i="37"/>
  <c r="H46" i="37"/>
  <c r="F46" i="37"/>
  <c r="L45" i="37"/>
  <c r="J45" i="37"/>
  <c r="H45" i="37"/>
  <c r="F45" i="37"/>
  <c r="M44" i="37"/>
  <c r="K44" i="37"/>
  <c r="I44" i="37"/>
  <c r="G44" i="37"/>
  <c r="M43" i="37"/>
  <c r="K43" i="37"/>
  <c r="I43" i="37"/>
  <c r="G43" i="37"/>
  <c r="M42" i="37"/>
  <c r="K42" i="37"/>
  <c r="I42" i="37"/>
  <c r="G42" i="37"/>
  <c r="M41" i="37"/>
  <c r="K41" i="37"/>
  <c r="I41" i="37"/>
  <c r="G41" i="37"/>
  <c r="M40" i="37"/>
  <c r="K40" i="37"/>
  <c r="I40" i="37"/>
  <c r="G40" i="37"/>
  <c r="M39" i="37"/>
  <c r="K39" i="37"/>
  <c r="I39" i="37"/>
  <c r="G39" i="37"/>
  <c r="M37" i="37"/>
  <c r="K37" i="37"/>
  <c r="I37" i="37"/>
  <c r="G37" i="37"/>
  <c r="M36" i="37"/>
  <c r="K36" i="37"/>
  <c r="I36" i="37"/>
  <c r="G36" i="37"/>
  <c r="M35" i="37"/>
  <c r="K35" i="37"/>
  <c r="I35" i="37"/>
  <c r="G35" i="37"/>
  <c r="M34" i="37"/>
  <c r="K34" i="37"/>
  <c r="I34" i="37"/>
  <c r="G34" i="37"/>
  <c r="M33" i="37"/>
  <c r="K33" i="37"/>
  <c r="I33" i="37"/>
  <c r="G33" i="37"/>
  <c r="M32" i="37"/>
  <c r="K32" i="37"/>
  <c r="I32" i="37"/>
  <c r="G32" i="37"/>
  <c r="M31" i="37"/>
  <c r="K31" i="37"/>
  <c r="I31" i="37"/>
  <c r="G31" i="37"/>
  <c r="M30" i="37"/>
  <c r="K30" i="37"/>
  <c r="I30" i="37"/>
  <c r="G30" i="37"/>
  <c r="M29" i="37"/>
  <c r="K29" i="37"/>
  <c r="I29" i="37"/>
  <c r="G29" i="37"/>
  <c r="M28" i="37"/>
  <c r="K28" i="37"/>
  <c r="I28" i="37"/>
  <c r="G28" i="37"/>
  <c r="M27" i="37"/>
  <c r="K27" i="37"/>
  <c r="I27" i="37"/>
  <c r="G27" i="37"/>
  <c r="M26" i="37"/>
  <c r="K26" i="37"/>
  <c r="I26" i="37"/>
  <c r="G26" i="37"/>
  <c r="M25" i="37"/>
  <c r="K25" i="37"/>
  <c r="I25" i="37"/>
  <c r="G25" i="37"/>
  <c r="M24" i="37"/>
  <c r="K24" i="37"/>
  <c r="I24" i="37"/>
  <c r="G24" i="37"/>
  <c r="M23" i="37"/>
  <c r="K23" i="37"/>
  <c r="I23" i="37"/>
  <c r="G23" i="37"/>
  <c r="M22" i="37"/>
  <c r="K22" i="37"/>
  <c r="I22" i="37"/>
  <c r="G22" i="37"/>
  <c r="M21" i="37"/>
  <c r="K21" i="37"/>
  <c r="I21" i="37"/>
  <c r="G21" i="37"/>
  <c r="M20" i="37"/>
  <c r="K20" i="37"/>
  <c r="I20" i="37"/>
  <c r="G20" i="37"/>
  <c r="M19" i="37"/>
  <c r="K19" i="37"/>
  <c r="I19" i="37"/>
  <c r="G19" i="37"/>
  <c r="M17" i="37"/>
  <c r="K17" i="37"/>
  <c r="I17" i="37"/>
  <c r="G17" i="37"/>
  <c r="M16" i="37"/>
  <c r="K16" i="37"/>
  <c r="I16" i="37"/>
  <c r="G16" i="37"/>
  <c r="M15" i="37"/>
  <c r="K15" i="37"/>
  <c r="I15" i="37"/>
  <c r="G15" i="37"/>
  <c r="M14" i="37"/>
  <c r="K14" i="37"/>
  <c r="I14" i="37"/>
  <c r="G14" i="37"/>
  <c r="M13" i="37"/>
  <c r="K13" i="37"/>
  <c r="I13" i="37"/>
  <c r="G13" i="37"/>
  <c r="M11" i="37"/>
  <c r="K11" i="37"/>
  <c r="I11" i="37"/>
  <c r="G11" i="37"/>
  <c r="M9" i="37"/>
  <c r="K9" i="37"/>
  <c r="I9" i="37"/>
  <c r="G9" i="37"/>
  <c r="M8" i="37"/>
  <c r="K8" i="37"/>
  <c r="I8" i="37"/>
  <c r="G8" i="37"/>
  <c r="M7" i="37"/>
  <c r="K7" i="37"/>
  <c r="I7" i="37"/>
  <c r="G7" i="37"/>
  <c r="M5" i="37"/>
  <c r="K5" i="37"/>
  <c r="I5" i="37"/>
  <c r="G5" i="37"/>
  <c r="M4" i="37"/>
  <c r="K4" i="37"/>
  <c r="I4" i="37"/>
  <c r="G4" i="37"/>
  <c r="M3" i="37"/>
  <c r="K3" i="37"/>
  <c r="I3" i="37"/>
  <c r="G3" i="37"/>
  <c r="M2" i="37"/>
  <c r="K2" i="37"/>
  <c r="I2" i="37"/>
  <c r="G2" i="37"/>
  <c r="F6" i="29" l="1"/>
  <c r="I6" i="29"/>
  <c r="L6" i="29"/>
  <c r="O6" i="29"/>
  <c r="F8" i="29"/>
  <c r="I8" i="29"/>
  <c r="L8" i="29"/>
  <c r="O8" i="29"/>
  <c r="F7" i="29"/>
  <c r="I7" i="29"/>
  <c r="L7" i="29"/>
  <c r="O7" i="29"/>
  <c r="F5" i="29"/>
  <c r="I5" i="29"/>
  <c r="L5" i="29"/>
  <c r="O5" i="29"/>
  <c r="O9" i="29"/>
  <c r="L9" i="29"/>
  <c r="I9" i="29"/>
  <c r="F9" i="29"/>
  <c r="B6" i="29"/>
  <c r="C6" i="29"/>
  <c r="D6" i="29"/>
  <c r="E6" i="29"/>
  <c r="B8" i="29"/>
  <c r="C8" i="29"/>
  <c r="D8" i="29"/>
  <c r="E8" i="29"/>
  <c r="B7" i="29"/>
  <c r="C7" i="29"/>
  <c r="D7" i="29"/>
  <c r="E7" i="29"/>
  <c r="B5" i="29"/>
  <c r="C5" i="29"/>
  <c r="D5" i="29"/>
  <c r="E5" i="29"/>
  <c r="C9" i="29"/>
  <c r="D9" i="29"/>
  <c r="E9" i="29"/>
  <c r="B9" i="29"/>
  <c r="F7" i="14"/>
  <c r="I7" i="14"/>
  <c r="L7" i="14"/>
  <c r="O7" i="14"/>
  <c r="F9" i="14"/>
  <c r="I9" i="14"/>
  <c r="L9" i="14"/>
  <c r="O9" i="14"/>
  <c r="F8" i="14"/>
  <c r="I8" i="14"/>
  <c r="L8" i="14"/>
  <c r="O8" i="14"/>
  <c r="F6" i="14"/>
  <c r="I6" i="14"/>
  <c r="L6" i="14"/>
  <c r="O6" i="14"/>
  <c r="F5" i="14"/>
  <c r="I5" i="14"/>
  <c r="L5" i="14"/>
  <c r="O5" i="14"/>
  <c r="Q5" i="14" s="1"/>
  <c r="O10" i="14"/>
  <c r="L10" i="14"/>
  <c r="I10" i="14"/>
  <c r="F10" i="14"/>
  <c r="B7" i="14"/>
  <c r="C7" i="14"/>
  <c r="D7" i="14"/>
  <c r="E7" i="14"/>
  <c r="B9" i="14"/>
  <c r="C9" i="14"/>
  <c r="D9" i="14"/>
  <c r="E9" i="14"/>
  <c r="B8" i="14"/>
  <c r="C8" i="14"/>
  <c r="D8" i="14"/>
  <c r="E8" i="14"/>
  <c r="B6" i="14"/>
  <c r="C6" i="14"/>
  <c r="D6" i="14"/>
  <c r="E6" i="14"/>
  <c r="B5" i="14"/>
  <c r="C5" i="14"/>
  <c r="D5" i="14"/>
  <c r="E5" i="14"/>
  <c r="C10" i="14"/>
  <c r="D10" i="14"/>
  <c r="E10" i="14"/>
  <c r="B10" i="14"/>
  <c r="I7" i="30"/>
  <c r="I6" i="30"/>
  <c r="L5" i="30"/>
  <c r="L7" i="30"/>
  <c r="L6" i="30"/>
  <c r="O5" i="30"/>
  <c r="O7" i="30"/>
  <c r="O6" i="30"/>
  <c r="O8" i="30"/>
  <c r="L8" i="30"/>
  <c r="I8" i="30"/>
  <c r="F5" i="30"/>
  <c r="F7" i="30"/>
  <c r="F6" i="30"/>
  <c r="F8" i="30"/>
  <c r="B5" i="30"/>
  <c r="C5" i="30"/>
  <c r="D5" i="30"/>
  <c r="E5" i="30"/>
  <c r="B7" i="30"/>
  <c r="C7" i="30"/>
  <c r="D7" i="30"/>
  <c r="E7" i="30"/>
  <c r="B6" i="30"/>
  <c r="C6" i="30"/>
  <c r="D6" i="30"/>
  <c r="E6" i="30"/>
  <c r="C8" i="30"/>
  <c r="D8" i="30"/>
  <c r="E8" i="30"/>
  <c r="B8" i="30"/>
  <c r="D6" i="16"/>
  <c r="E6" i="16"/>
  <c r="D5" i="16"/>
  <c r="E5" i="16"/>
  <c r="N7" i="29" l="1"/>
  <c r="Q5" i="29"/>
  <c r="K7" i="29"/>
  <c r="H5" i="29"/>
  <c r="H8" i="29"/>
  <c r="N6" i="29"/>
  <c r="Q8" i="29"/>
  <c r="K6" i="29"/>
  <c r="H6" i="29"/>
  <c r="K5" i="29"/>
  <c r="Q7" i="29"/>
  <c r="K8" i="29"/>
  <c r="Q6" i="29"/>
  <c r="N5" i="29"/>
  <c r="H7" i="29"/>
  <c r="N8" i="29"/>
  <c r="N5" i="14"/>
  <c r="H6" i="14"/>
  <c r="N8" i="14"/>
  <c r="H9" i="14"/>
  <c r="N7" i="14"/>
  <c r="H5" i="14"/>
  <c r="Q8" i="14"/>
  <c r="K9" i="14"/>
  <c r="H8" i="14"/>
  <c r="H7" i="14"/>
  <c r="K5" i="14"/>
  <c r="S5" i="14" s="1"/>
  <c r="Q6" i="14"/>
  <c r="K8" i="14"/>
  <c r="Q9" i="14"/>
  <c r="K7" i="14"/>
  <c r="K6" i="14"/>
  <c r="Q7" i="14"/>
  <c r="N6" i="14"/>
  <c r="N9" i="14"/>
  <c r="S6" i="14" l="1"/>
  <c r="S6" i="29"/>
  <c r="S8" i="29"/>
  <c r="S5" i="29"/>
  <c r="S7" i="29"/>
  <c r="S9" i="14"/>
  <c r="S8" i="14"/>
  <c r="S7" i="14"/>
  <c r="H12" i="36" l="1"/>
  <c r="H13" i="36"/>
  <c r="H14" i="36"/>
  <c r="H15" i="36"/>
  <c r="H16" i="36"/>
  <c r="H11" i="36"/>
  <c r="H3" i="36"/>
  <c r="H4" i="36"/>
  <c r="H5" i="36"/>
  <c r="H7" i="36"/>
  <c r="H8" i="36"/>
  <c r="H6" i="36"/>
  <c r="H20" i="36"/>
  <c r="H21" i="36"/>
  <c r="H22" i="36"/>
  <c r="H23" i="36"/>
  <c r="H19" i="36"/>
  <c r="F26" i="36"/>
  <c r="F27" i="36"/>
  <c r="D27" i="36"/>
  <c r="D26" i="36"/>
  <c r="F23" i="36"/>
  <c r="F22" i="36"/>
  <c r="F21" i="36"/>
  <c r="F20" i="36"/>
  <c r="F19" i="36"/>
  <c r="D23" i="36"/>
  <c r="D22" i="36"/>
  <c r="D21" i="36"/>
  <c r="D20" i="36"/>
  <c r="D19" i="36"/>
  <c r="F15" i="36"/>
  <c r="F14" i="36"/>
  <c r="F13" i="36"/>
  <c r="F12" i="36"/>
  <c r="F11" i="36"/>
  <c r="F3" i="36"/>
  <c r="D15" i="36"/>
  <c r="D13" i="36"/>
  <c r="D14" i="36"/>
  <c r="D12" i="36"/>
  <c r="D11" i="36"/>
  <c r="D3" i="36"/>
  <c r="F8" i="36"/>
  <c r="F7" i="36"/>
  <c r="F6" i="36"/>
  <c r="F5" i="36"/>
  <c r="F4" i="36"/>
  <c r="D5" i="36"/>
  <c r="D6" i="36"/>
  <c r="D7" i="36"/>
  <c r="D8" i="36"/>
  <c r="D4" i="36"/>
  <c r="K6" i="30" l="1"/>
  <c r="N6" i="30" l="1"/>
  <c r="K5" i="30"/>
  <c r="N5" i="30"/>
  <c r="K7" i="30"/>
  <c r="N7" i="30"/>
  <c r="K8" i="30"/>
  <c r="N8" i="30"/>
  <c r="K9" i="29"/>
  <c r="N9" i="29"/>
  <c r="Q7" i="30"/>
  <c r="Q5" i="30"/>
  <c r="Q6" i="30"/>
  <c r="Q8" i="30"/>
  <c r="Q9" i="29"/>
  <c r="J5" i="31"/>
  <c r="J6" i="31"/>
  <c r="J7" i="31"/>
  <c r="M5" i="31"/>
  <c r="M6" i="31"/>
  <c r="M7" i="31"/>
  <c r="P5" i="31"/>
  <c r="Q5" i="31" s="1"/>
  <c r="P6" i="31"/>
  <c r="Q6" i="31" s="1"/>
  <c r="P7" i="31"/>
  <c r="F7" i="31"/>
  <c r="G7" i="31" s="1"/>
  <c r="E7" i="31"/>
  <c r="D7" i="31"/>
  <c r="C7" i="31"/>
  <c r="F6" i="31"/>
  <c r="E6" i="31"/>
  <c r="D6" i="31"/>
  <c r="C6" i="31"/>
  <c r="F5" i="31"/>
  <c r="G5" i="31" s="1"/>
  <c r="E5" i="31"/>
  <c r="D5" i="31"/>
  <c r="C5" i="31"/>
  <c r="O7" i="32"/>
  <c r="L7" i="32"/>
  <c r="I7" i="32"/>
  <c r="F7" i="32"/>
  <c r="E7" i="32"/>
  <c r="D7" i="32"/>
  <c r="C7" i="32"/>
  <c r="B7" i="32"/>
  <c r="O5" i="32"/>
  <c r="L5" i="32"/>
  <c r="I5" i="32"/>
  <c r="F5" i="32"/>
  <c r="E5" i="32"/>
  <c r="D5" i="32"/>
  <c r="C5" i="32"/>
  <c r="B5" i="32"/>
  <c r="O6" i="32"/>
  <c r="Q6" i="32" s="1"/>
  <c r="L6" i="32"/>
  <c r="N6" i="32" s="1"/>
  <c r="I6" i="32"/>
  <c r="F6" i="32"/>
  <c r="E6" i="32"/>
  <c r="D6" i="32"/>
  <c r="C6" i="32"/>
  <c r="B6" i="32"/>
  <c r="B8" i="15"/>
  <c r="C8" i="15"/>
  <c r="D8" i="15"/>
  <c r="E8" i="15"/>
  <c r="F8" i="15"/>
  <c r="I8" i="15"/>
  <c r="L8" i="15"/>
  <c r="O8" i="15"/>
  <c r="B9" i="15"/>
  <c r="C9" i="15"/>
  <c r="D9" i="15"/>
  <c r="E9" i="15"/>
  <c r="F9" i="15"/>
  <c r="I9" i="15"/>
  <c r="L9" i="15"/>
  <c r="O9" i="15"/>
  <c r="B7" i="15"/>
  <c r="C7" i="15"/>
  <c r="D7" i="15"/>
  <c r="E7" i="15"/>
  <c r="F7" i="15"/>
  <c r="I7" i="15"/>
  <c r="L7" i="15"/>
  <c r="O7" i="15"/>
  <c r="B6" i="15"/>
  <c r="C6" i="15"/>
  <c r="D6" i="15"/>
  <c r="E6" i="15"/>
  <c r="F6" i="15"/>
  <c r="I6" i="15"/>
  <c r="L6" i="15"/>
  <c r="O6" i="15"/>
  <c r="B5" i="15"/>
  <c r="C5" i="15"/>
  <c r="D5" i="15"/>
  <c r="E5" i="15"/>
  <c r="F5" i="15"/>
  <c r="I5" i="15"/>
  <c r="L5" i="15"/>
  <c r="O5" i="15"/>
  <c r="O10" i="15"/>
  <c r="L10" i="15"/>
  <c r="I10" i="15"/>
  <c r="F10" i="15"/>
  <c r="C10" i="15"/>
  <c r="D10" i="15"/>
  <c r="E10" i="15"/>
  <c r="B10" i="15"/>
  <c r="O5" i="28"/>
  <c r="L5" i="28"/>
  <c r="I5" i="28"/>
  <c r="F5" i="28"/>
  <c r="E5" i="28"/>
  <c r="D5" i="28"/>
  <c r="C5" i="28"/>
  <c r="B5" i="28"/>
  <c r="H9" i="28" l="1"/>
  <c r="H10" i="28"/>
  <c r="H8" i="28"/>
  <c r="H6" i="28"/>
  <c r="H11" i="28"/>
  <c r="H7" i="28"/>
  <c r="K7" i="28"/>
  <c r="K11" i="28"/>
  <c r="K6" i="28"/>
  <c r="K9" i="28"/>
  <c r="K8" i="28"/>
  <c r="K10" i="28"/>
  <c r="Q10" i="28"/>
  <c r="Q8" i="28"/>
  <c r="Q9" i="28"/>
  <c r="Q6" i="28"/>
  <c r="Q7" i="28"/>
  <c r="Q11" i="28"/>
  <c r="N7" i="28"/>
  <c r="N11" i="28"/>
  <c r="N6" i="28"/>
  <c r="N8" i="28"/>
  <c r="N9" i="28"/>
  <c r="N10" i="28"/>
  <c r="K5" i="28"/>
  <c r="Q5" i="28"/>
  <c r="N5" i="28"/>
  <c r="H5" i="28"/>
  <c r="H7" i="27"/>
  <c r="N5" i="15"/>
  <c r="H10" i="15"/>
  <c r="G6" i="31"/>
  <c r="I6" i="31" s="1"/>
  <c r="K6" i="31" s="1"/>
  <c r="H6" i="31"/>
  <c r="H6" i="30"/>
  <c r="H8" i="30"/>
  <c r="H7" i="30"/>
  <c r="H5" i="30"/>
  <c r="H9" i="29"/>
  <c r="N5" i="32"/>
  <c r="N7" i="32"/>
  <c r="K6" i="32"/>
  <c r="K7" i="32"/>
  <c r="Q5" i="32"/>
  <c r="Q7" i="32"/>
  <c r="K5" i="32"/>
  <c r="H6" i="32"/>
  <c r="H5" i="32"/>
  <c r="H7" i="32"/>
  <c r="I7" i="31"/>
  <c r="K7" i="31" s="1"/>
  <c r="I5" i="31"/>
  <c r="K5" i="31" s="1"/>
  <c r="R5" i="31"/>
  <c r="H10" i="14"/>
  <c r="L7" i="31"/>
  <c r="Q10" i="14"/>
  <c r="N10" i="14"/>
  <c r="H6" i="15"/>
  <c r="Q7" i="31"/>
  <c r="O7" i="31"/>
  <c r="L5" i="31"/>
  <c r="L6" i="31"/>
  <c r="R7" i="31"/>
  <c r="O5" i="31"/>
  <c r="O6" i="31"/>
  <c r="R6" i="31"/>
  <c r="H9" i="15"/>
  <c r="N8" i="15"/>
  <c r="N7" i="15"/>
  <c r="Q5" i="15"/>
  <c r="Q7" i="15"/>
  <c r="K9" i="15"/>
  <c r="N6" i="15"/>
  <c r="H7" i="15"/>
  <c r="H8" i="15"/>
  <c r="Q8" i="15"/>
  <c r="H5" i="15"/>
  <c r="N9" i="15"/>
  <c r="K5" i="15"/>
  <c r="K8" i="15"/>
  <c r="K6" i="15"/>
  <c r="Q6" i="15"/>
  <c r="K7" i="15"/>
  <c r="Q9" i="15"/>
  <c r="K10" i="14"/>
  <c r="K7" i="27"/>
  <c r="Q7" i="27"/>
  <c r="N7" i="27"/>
  <c r="S7" i="28" l="1"/>
  <c r="S10" i="28"/>
  <c r="S11" i="28"/>
  <c r="S9" i="28"/>
  <c r="S8" i="28"/>
  <c r="S6" i="28"/>
  <c r="N6" i="31"/>
  <c r="S6" i="31" s="1"/>
  <c r="S5" i="28"/>
  <c r="S10" i="14"/>
  <c r="S7" i="27"/>
  <c r="S6" i="15"/>
  <c r="T7" i="31"/>
  <c r="T6" i="31"/>
  <c r="T5" i="31"/>
  <c r="S9" i="15"/>
  <c r="S8" i="15"/>
  <c r="S7" i="15"/>
  <c r="S5" i="15"/>
  <c r="N9" i="5" l="1"/>
  <c r="Q9" i="5"/>
  <c r="H9" i="5"/>
  <c r="K9" i="5"/>
  <c r="S9" i="5" l="1"/>
  <c r="A1" i="17" l="1"/>
  <c r="N5" i="35"/>
  <c r="P5" i="35" s="1"/>
  <c r="A1" i="28" l="1"/>
  <c r="A1" i="27"/>
  <c r="A1" i="15"/>
  <c r="F12" i="28" l="1"/>
  <c r="G9" i="28" l="1"/>
  <c r="G10" i="28"/>
  <c r="G8" i="28"/>
  <c r="G7" i="28"/>
  <c r="G11" i="28"/>
  <c r="G6" i="28"/>
  <c r="L15" i="27"/>
  <c r="I15" i="27"/>
  <c r="L12" i="28"/>
  <c r="O15" i="27"/>
  <c r="K10" i="15"/>
  <c r="Q10" i="15"/>
  <c r="N10" i="15"/>
  <c r="I12" i="28"/>
  <c r="O12" i="28"/>
  <c r="M5" i="27" l="1"/>
  <c r="M8" i="27"/>
  <c r="P5" i="27"/>
  <c r="P8" i="27"/>
  <c r="J5" i="27"/>
  <c r="J8" i="27"/>
  <c r="P6" i="27"/>
  <c r="P12" i="27"/>
  <c r="P13" i="27"/>
  <c r="P11" i="27"/>
  <c r="P10" i="27"/>
  <c r="P9" i="27"/>
  <c r="P14" i="27"/>
  <c r="M11" i="27"/>
  <c r="M6" i="27"/>
  <c r="M10" i="27"/>
  <c r="M14" i="27"/>
  <c r="M9" i="27"/>
  <c r="M12" i="27"/>
  <c r="M13" i="27"/>
  <c r="J9" i="27"/>
  <c r="J10" i="27"/>
  <c r="J14" i="27"/>
  <c r="J6" i="27"/>
  <c r="J13" i="27"/>
  <c r="J12" i="27"/>
  <c r="J11" i="27"/>
  <c r="M9" i="28"/>
  <c r="M8" i="28"/>
  <c r="M7" i="28"/>
  <c r="M11" i="28"/>
  <c r="M10" i="28"/>
  <c r="J7" i="28"/>
  <c r="J9" i="28"/>
  <c r="R9" i="28" s="1"/>
  <c r="J8" i="28"/>
  <c r="J10" i="28"/>
  <c r="P9" i="28"/>
  <c r="P10" i="28"/>
  <c r="P8" i="28"/>
  <c r="P7" i="28"/>
  <c r="P11" i="28"/>
  <c r="R11" i="28"/>
  <c r="O6" i="33"/>
  <c r="P7" i="27"/>
  <c r="L6" i="33"/>
  <c r="M7" i="27"/>
  <c r="J7" i="27"/>
  <c r="S10" i="15"/>
  <c r="I6" i="33"/>
  <c r="I8" i="31"/>
  <c r="I10" i="29"/>
  <c r="I9" i="30"/>
  <c r="F9" i="30"/>
  <c r="I8" i="32"/>
  <c r="F8" i="32"/>
  <c r="K5" i="35"/>
  <c r="H5" i="35"/>
  <c r="E5" i="35"/>
  <c r="G5" i="35" s="1"/>
  <c r="D5" i="35"/>
  <c r="C5" i="35"/>
  <c r="B5" i="35"/>
  <c r="A1" i="35"/>
  <c r="O5" i="33"/>
  <c r="L5" i="33"/>
  <c r="I5" i="33"/>
  <c r="F5" i="33"/>
  <c r="D5" i="33"/>
  <c r="C5" i="33"/>
  <c r="B5" i="33"/>
  <c r="A1" i="33"/>
  <c r="A1" i="32"/>
  <c r="A1" i="31"/>
  <c r="A1" i="30"/>
  <c r="A1" i="29"/>
  <c r="R10" i="28" l="1"/>
  <c r="R7" i="28"/>
  <c r="R8" i="28"/>
  <c r="G8" i="30"/>
  <c r="G7" i="30"/>
  <c r="G6" i="30"/>
  <c r="G5" i="30"/>
  <c r="J8" i="29"/>
  <c r="J7" i="29"/>
  <c r="J6" i="29"/>
  <c r="J9" i="29"/>
  <c r="G5" i="32"/>
  <c r="G6" i="32"/>
  <c r="G7" i="32"/>
  <c r="J7" i="32"/>
  <c r="J6" i="32"/>
  <c r="K5" i="33"/>
  <c r="F15" i="27"/>
  <c r="Q5" i="33"/>
  <c r="E6" i="35"/>
  <c r="F5" i="35" s="1"/>
  <c r="N5" i="33"/>
  <c r="M5" i="35"/>
  <c r="J5" i="35"/>
  <c r="H5" i="33"/>
  <c r="A1" i="16"/>
  <c r="A1" i="14"/>
  <c r="G8" i="27" l="1"/>
  <c r="R8" i="27" s="1"/>
  <c r="G5" i="27"/>
  <c r="R5" i="27" s="1"/>
  <c r="G14" i="27"/>
  <c r="R14" i="27" s="1"/>
  <c r="G13" i="27"/>
  <c r="R13" i="27" s="1"/>
  <c r="G11" i="27"/>
  <c r="R11" i="27" s="1"/>
  <c r="G6" i="27"/>
  <c r="R6" i="27" s="1"/>
  <c r="G10" i="27"/>
  <c r="R10" i="27" s="1"/>
  <c r="G9" i="27"/>
  <c r="R9" i="27" s="1"/>
  <c r="G12" i="27"/>
  <c r="R12" i="27" s="1"/>
  <c r="G7" i="27"/>
  <c r="R7" i="27" s="1"/>
  <c r="F10" i="29"/>
  <c r="R5" i="35"/>
  <c r="H6" i="35"/>
  <c r="I5" i="35" s="1"/>
  <c r="L8" i="32"/>
  <c r="F6" i="33"/>
  <c r="G5" i="33" s="1"/>
  <c r="F8" i="31"/>
  <c r="O8" i="32"/>
  <c r="O9" i="30"/>
  <c r="L9" i="30"/>
  <c r="S5" i="33"/>
  <c r="O17" i="5"/>
  <c r="L17" i="5"/>
  <c r="I17" i="5"/>
  <c r="F17" i="5"/>
  <c r="C6" i="16"/>
  <c r="C5" i="16"/>
  <c r="B5" i="16"/>
  <c r="B6" i="16"/>
  <c r="F6" i="16"/>
  <c r="I6" i="16"/>
  <c r="L6" i="16"/>
  <c r="O6" i="16"/>
  <c r="F5" i="16"/>
  <c r="H5" i="16" s="1"/>
  <c r="I5" i="16"/>
  <c r="L5" i="16"/>
  <c r="O5" i="16"/>
  <c r="P8" i="14" l="1"/>
  <c r="P9" i="14"/>
  <c r="P5" i="14"/>
  <c r="P7" i="14"/>
  <c r="P6" i="14"/>
  <c r="G9" i="14"/>
  <c r="G8" i="14"/>
  <c r="G5" i="14"/>
  <c r="G6" i="14"/>
  <c r="G7" i="14"/>
  <c r="J5" i="14"/>
  <c r="J6" i="14"/>
  <c r="J7" i="14"/>
  <c r="J8" i="14"/>
  <c r="J9" i="14"/>
  <c r="M7" i="14"/>
  <c r="M5" i="14"/>
  <c r="M6" i="14"/>
  <c r="M8" i="14"/>
  <c r="M9" i="14"/>
  <c r="G8" i="29"/>
  <c r="G6" i="29"/>
  <c r="G7" i="29"/>
  <c r="J10" i="14"/>
  <c r="G9" i="29"/>
  <c r="H7" i="31"/>
  <c r="H5" i="31"/>
  <c r="P6" i="32"/>
  <c r="P7" i="32"/>
  <c r="M6" i="32"/>
  <c r="M7" i="32"/>
  <c r="G10" i="14"/>
  <c r="P10" i="14"/>
  <c r="M10" i="14"/>
  <c r="S6" i="32"/>
  <c r="J9" i="5"/>
  <c r="M9" i="5"/>
  <c r="P9" i="5"/>
  <c r="G9" i="5"/>
  <c r="O11" i="15"/>
  <c r="O7" i="16"/>
  <c r="F6" i="17"/>
  <c r="I11" i="14"/>
  <c r="L6" i="17"/>
  <c r="I6" i="17"/>
  <c r="F11" i="14"/>
  <c r="F11" i="15"/>
  <c r="O11" i="14"/>
  <c r="I7" i="16"/>
  <c r="F7" i="16"/>
  <c r="G6" i="16" s="1"/>
  <c r="K5" i="16"/>
  <c r="L11" i="15"/>
  <c r="L11" i="14"/>
  <c r="O6" i="17"/>
  <c r="I11" i="15"/>
  <c r="N6" i="16"/>
  <c r="N5" i="16"/>
  <c r="H6" i="16"/>
  <c r="Q5" i="16"/>
  <c r="Q6" i="16"/>
  <c r="K6" i="16"/>
  <c r="L7" i="16"/>
  <c r="R7" i="14" l="1"/>
  <c r="R9" i="14"/>
  <c r="R5" i="14"/>
  <c r="R8" i="14"/>
  <c r="R6" i="14"/>
  <c r="R6" i="32"/>
  <c r="R7" i="32"/>
  <c r="R5" i="32"/>
  <c r="S5" i="32"/>
  <c r="S6" i="30"/>
  <c r="R5" i="30"/>
  <c r="R6" i="30"/>
  <c r="S8" i="30"/>
  <c r="S7" i="32"/>
  <c r="S7" i="30"/>
  <c r="R7" i="30"/>
  <c r="R10" i="14"/>
  <c r="R8" i="30"/>
  <c r="S5" i="30"/>
  <c r="J6" i="15"/>
  <c r="J8" i="15"/>
  <c r="J7" i="15"/>
  <c r="J9" i="15"/>
  <c r="J5" i="15"/>
  <c r="G8" i="15"/>
  <c r="G5" i="15"/>
  <c r="G7" i="15"/>
  <c r="G6" i="15"/>
  <c r="G9" i="15"/>
  <c r="M9" i="15"/>
  <c r="M5" i="15"/>
  <c r="M6" i="15"/>
  <c r="M7" i="15"/>
  <c r="M8" i="15"/>
  <c r="P5" i="15"/>
  <c r="P6" i="15"/>
  <c r="P8" i="15"/>
  <c r="P7" i="15"/>
  <c r="P9" i="15"/>
  <c r="R9" i="5"/>
  <c r="J10" i="15"/>
  <c r="G10" i="15"/>
  <c r="M10" i="15"/>
  <c r="P10" i="15"/>
  <c r="P5" i="16"/>
  <c r="P6" i="16"/>
  <c r="J6" i="16"/>
  <c r="J5" i="16"/>
  <c r="G5" i="16"/>
  <c r="M6" i="16"/>
  <c r="M5" i="16"/>
  <c r="S6" i="16"/>
  <c r="S5" i="16"/>
  <c r="R7" i="15" l="1"/>
  <c r="R5" i="15"/>
  <c r="R9" i="15"/>
  <c r="R8" i="15"/>
  <c r="R6" i="15"/>
  <c r="R10" i="15"/>
  <c r="R6" i="16"/>
  <c r="R5" i="16"/>
  <c r="J5" i="33" l="1"/>
  <c r="L8" i="31" l="1"/>
  <c r="N5" i="31" l="1"/>
  <c r="S5" i="31" s="1"/>
  <c r="N7" i="31"/>
  <c r="S7" i="31" s="1"/>
  <c r="K6" i="35"/>
  <c r="L5" i="35" s="1"/>
  <c r="M5" i="33"/>
  <c r="L10" i="29"/>
  <c r="M8" i="29" l="1"/>
  <c r="M7" i="29"/>
  <c r="M6" i="29"/>
  <c r="M9" i="29"/>
  <c r="O8" i="31"/>
  <c r="N6" i="35" l="1"/>
  <c r="O5" i="35" s="1"/>
  <c r="Q5" i="35" s="1"/>
  <c r="O10" i="29"/>
  <c r="P5" i="33"/>
  <c r="R5" i="33" s="1"/>
  <c r="P6" i="29" l="1"/>
  <c r="R6" i="29" s="1"/>
  <c r="P8" i="29"/>
  <c r="R8" i="29" s="1"/>
  <c r="P5" i="29"/>
  <c r="R5" i="29" s="1"/>
  <c r="P7" i="29"/>
  <c r="R7" i="29" s="1"/>
  <c r="P9" i="29"/>
  <c r="R9" i="29" s="1"/>
  <c r="S9" i="29"/>
</calcChain>
</file>

<file path=xl/sharedStrings.xml><?xml version="1.0" encoding="utf-8"?>
<sst xmlns="http://schemas.openxmlformats.org/spreadsheetml/2006/main" count="793" uniqueCount="193">
  <si>
    <t>K1W</t>
  </si>
  <si>
    <t>K1M</t>
  </si>
  <si>
    <t>First Name</t>
  </si>
  <si>
    <t>Run #1 Score</t>
  </si>
  <si>
    <t>Run #3 Score</t>
  </si>
  <si>
    <t>Last Name</t>
  </si>
  <si>
    <t>Run #4 Score</t>
  </si>
  <si>
    <t>Run #2 Score</t>
  </si>
  <si>
    <t>Given Name</t>
  </si>
  <si>
    <t>C1M</t>
  </si>
  <si>
    <t>C1W</t>
  </si>
  <si>
    <t>Surname</t>
  </si>
  <si>
    <t>Province</t>
  </si>
  <si>
    <t>BC</t>
  </si>
  <si>
    <t>ON</t>
  </si>
  <si>
    <t>AB</t>
  </si>
  <si>
    <t>QC</t>
  </si>
  <si>
    <t>Run #1 %</t>
  </si>
  <si>
    <t>Run #2 %</t>
  </si>
  <si>
    <t>Run #3 %</t>
  </si>
  <si>
    <t>Run #4 %</t>
  </si>
  <si>
    <t>Run #1 Points</t>
  </si>
  <si>
    <t>Run #2 Points</t>
  </si>
  <si>
    <t>Run #3 Points</t>
  </si>
  <si>
    <t>Run #4 Points</t>
  </si>
  <si>
    <t>Cat</t>
  </si>
  <si>
    <t>Overall Points</t>
  </si>
  <si>
    <t>Tie-Break %</t>
  </si>
  <si>
    <t>Rank</t>
  </si>
  <si>
    <t>Category</t>
  </si>
  <si>
    <t>Race 1 Score</t>
  </si>
  <si>
    <t>Race 2 Score</t>
  </si>
  <si>
    <t>Race 3 Score</t>
  </si>
  <si>
    <t>Race 4 Score</t>
  </si>
  <si>
    <t>Florence</t>
  </si>
  <si>
    <t>BS</t>
  </si>
  <si>
    <t>Overall points tie will be broken by the single lowest Intraclass points score and lowest percentage score</t>
  </si>
  <si>
    <t>J</t>
  </si>
  <si>
    <t>Yannick</t>
  </si>
  <si>
    <t>Keenan</t>
  </si>
  <si>
    <t>Jocelyn</t>
  </si>
  <si>
    <t>TAYLOR</t>
  </si>
  <si>
    <t>BETTERIDGE</t>
  </si>
  <si>
    <t>MAHEU</t>
  </si>
  <si>
    <t>Lois</t>
  </si>
  <si>
    <t>U23</t>
  </si>
  <si>
    <t>KRYWORUCHKO</t>
  </si>
  <si>
    <t>DANIELS</t>
  </si>
  <si>
    <t>LAVIOLETTE</t>
  </si>
  <si>
    <t>SMEDLEY</t>
  </si>
  <si>
    <t>ATKINS</t>
  </si>
  <si>
    <t>BOYD</t>
  </si>
  <si>
    <t>SIMPSON</t>
  </si>
  <si>
    <t>Mael</t>
  </si>
  <si>
    <t>Austin</t>
  </si>
  <si>
    <t>Trevor</t>
  </si>
  <si>
    <t>C2</t>
  </si>
  <si>
    <t>Jakob</t>
  </si>
  <si>
    <t>U23 %</t>
  </si>
  <si>
    <t>JR %</t>
  </si>
  <si>
    <t>S</t>
  </si>
  <si>
    <t>Spencer</t>
  </si>
  <si>
    <t>POMEROY</t>
  </si>
  <si>
    <t>Cameron</t>
  </si>
  <si>
    <t>Haley</t>
  </si>
  <si>
    <t>Jean-Benoit</t>
  </si>
  <si>
    <t>LEMAY</t>
  </si>
  <si>
    <t>RIVARD</t>
  </si>
  <si>
    <t>Michael</t>
  </si>
  <si>
    <t>SR</t>
  </si>
  <si>
    <t>C1 Men</t>
  </si>
  <si>
    <t>K1 Women</t>
  </si>
  <si>
    <t>K1 Men</t>
  </si>
  <si>
    <t>C1 Women</t>
  </si>
  <si>
    <t>C2 Mixed</t>
  </si>
  <si>
    <t>SR %</t>
  </si>
  <si>
    <t>TAYLER</t>
  </si>
  <si>
    <t xml:space="preserve"> SR %</t>
  </si>
  <si>
    <t>Olivia</t>
  </si>
  <si>
    <t>NORMAN</t>
  </si>
  <si>
    <t>Isabel</t>
  </si>
  <si>
    <t>Mark</t>
  </si>
  <si>
    <t>ZIELONKA</t>
  </si>
  <si>
    <t>Ben</t>
  </si>
  <si>
    <t>HAYWARD</t>
  </si>
  <si>
    <t>Column1</t>
  </si>
  <si>
    <t>U23 Team</t>
  </si>
  <si>
    <t>Junior Team</t>
  </si>
  <si>
    <t>Senior Team Performance Standard is based off of best base score (best senior time)</t>
  </si>
  <si>
    <t>U23 Team Performance Standard is based off of best U23 base score (best senior time)</t>
  </si>
  <si>
    <t>Lea</t>
  </si>
  <si>
    <t>BALDONI</t>
  </si>
  <si>
    <t>Alex</t>
  </si>
  <si>
    <t>Finn</t>
  </si>
  <si>
    <t>Lucas</t>
  </si>
  <si>
    <t>HATELY</t>
  </si>
  <si>
    <t>Reece</t>
  </si>
  <si>
    <t>canoe kayak canada 2019 team trials ranking</t>
  </si>
  <si>
    <t>Column2</t>
  </si>
  <si>
    <t>B. Hayward</t>
  </si>
  <si>
    <t>M Smolen</t>
  </si>
  <si>
    <t>M. Tayler</t>
  </si>
  <si>
    <t>J. Joseph</t>
  </si>
  <si>
    <t>K. Simpson</t>
  </si>
  <si>
    <t>T. Westfall</t>
  </si>
  <si>
    <t>A. Iffarraguerri</t>
  </si>
  <si>
    <t>R. Sribar</t>
  </si>
  <si>
    <t>M Corcoran</t>
  </si>
  <si>
    <t>JR</t>
  </si>
  <si>
    <t>F. Maheu</t>
  </si>
  <si>
    <t>Z. Lokken</t>
  </si>
  <si>
    <t>C. Eichfeld</t>
  </si>
  <si>
    <t>C. Smedley</t>
  </si>
  <si>
    <t>T. Dennis</t>
  </si>
  <si>
    <t>S. Pomeroy</t>
  </si>
  <si>
    <t>E. Leibfarth</t>
  </si>
  <si>
    <t>L. Betteridge</t>
  </si>
  <si>
    <t>S. Donnelly</t>
  </si>
  <si>
    <t>U23 Team Performance Standard is based off of best Junior base score</t>
  </si>
  <si>
    <t>U23 Team Performance Standard is based off of best U23 base score</t>
  </si>
  <si>
    <t>Senior Team Performance Standard is based off of best base score</t>
  </si>
  <si>
    <t>WAKELING</t>
  </si>
  <si>
    <t>2019 CANOE KAYAK CANADA NATIONAL TEAM</t>
  </si>
  <si>
    <t>Alberta</t>
  </si>
  <si>
    <t>Ontario</t>
  </si>
  <si>
    <t>Quebec</t>
  </si>
  <si>
    <t>British Columbia</t>
  </si>
  <si>
    <t>Anthony Colin</t>
  </si>
  <si>
    <t>Michal Staniszewski</t>
  </si>
  <si>
    <t>Michael Holroyd</t>
  </si>
  <si>
    <t>Men's Kayak</t>
  </si>
  <si>
    <t>Women's Kayak</t>
  </si>
  <si>
    <t>Men's Canoe</t>
  </si>
  <si>
    <t>Women's Canoe</t>
  </si>
  <si>
    <t>Senior Team</t>
  </si>
  <si>
    <t>Brendan Curson</t>
  </si>
  <si>
    <t>Base Score</t>
  </si>
  <si>
    <t>Event</t>
  </si>
  <si>
    <t>Alternate athlete</t>
  </si>
  <si>
    <t>Satisfied U23 Performance Benchmark at 2018 National Championships</t>
  </si>
  <si>
    <t>Satisfied Junior Performance Benchmark at 2018 National Championships</t>
  </si>
  <si>
    <t>Age in 2019</t>
  </si>
  <si>
    <t>Race 1</t>
  </si>
  <si>
    <t>Percentage #1</t>
  </si>
  <si>
    <t>Race 2</t>
  </si>
  <si>
    <t>Percentage #2</t>
  </si>
  <si>
    <t>Race 3</t>
  </si>
  <si>
    <t>Percentage #3</t>
  </si>
  <si>
    <t>Race 4</t>
  </si>
  <si>
    <t>Percentage #4</t>
  </si>
  <si>
    <t>PRONOVOST</t>
  </si>
  <si>
    <t>Luanda</t>
  </si>
  <si>
    <t>OHLER</t>
  </si>
  <si>
    <t>Reneo</t>
  </si>
  <si>
    <t>PETRONE</t>
  </si>
  <si>
    <t>Stephanie</t>
  </si>
  <si>
    <t>RISK</t>
  </si>
  <si>
    <t>James</t>
  </si>
  <si>
    <t>PLOURDE</t>
  </si>
  <si>
    <t>William</t>
  </si>
  <si>
    <t>LEBEUF</t>
  </si>
  <si>
    <t>Olivier</t>
  </si>
  <si>
    <t>NOACK</t>
  </si>
  <si>
    <t>Caleb</t>
  </si>
  <si>
    <t>BISSONNETTE</t>
  </si>
  <si>
    <t>Justin</t>
  </si>
  <si>
    <t>CAPSTICK</t>
  </si>
  <si>
    <t>Finley</t>
  </si>
  <si>
    <t>D'AVIGNON</t>
  </si>
  <si>
    <t>Marc-Antoine</t>
  </si>
  <si>
    <t>DEEMERT</t>
  </si>
  <si>
    <t>Jacob</t>
  </si>
  <si>
    <t>HATELY HONEYMAN</t>
  </si>
  <si>
    <t>HORNYANSKY</t>
  </si>
  <si>
    <t>ORUSKI</t>
  </si>
  <si>
    <t>Cole</t>
  </si>
  <si>
    <t>william</t>
  </si>
  <si>
    <t>WILKINS</t>
  </si>
  <si>
    <t>Avery</t>
  </si>
  <si>
    <t>WINTER</t>
  </si>
  <si>
    <t>Daniel</t>
  </si>
  <si>
    <t>ANDERSON</t>
  </si>
  <si>
    <t>Richard</t>
  </si>
  <si>
    <t>RAMRATTAN</t>
  </si>
  <si>
    <t>Darius</t>
  </si>
  <si>
    <t>WATT</t>
  </si>
  <si>
    <t>Alsek</t>
  </si>
  <si>
    <t>U23 Base Score</t>
  </si>
  <si>
    <t>JR Base Score</t>
  </si>
  <si>
    <t>Athletes highlighted above have satisfied the 2019 age grade performance benchmarks for the 2019 National Team Trials.</t>
  </si>
  <si>
    <t>2018 Performance Benchmarks</t>
  </si>
  <si>
    <t>JUNIOR</t>
  </si>
  <si>
    <t xml:space="preserve">K1M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</si>
</sst>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##########"/>
    <numFmt numFmtId="165" formatCode="#,##0.0"/>
    <numFmt numFmtId="166" formatCode="0.0%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sz val="20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8"/>
      <name val="Trebuchet MS"/>
      <family val="2"/>
    </font>
    <font>
      <sz val="22"/>
      <name val="Cubano"/>
      <family val="3"/>
    </font>
    <font>
      <sz val="10"/>
      <name val="Cubano"/>
      <family val="3"/>
    </font>
    <font>
      <sz val="20"/>
      <name val="Cubano"/>
      <family val="3"/>
    </font>
    <font>
      <sz val="10"/>
      <name val="Arial"/>
      <family val="2"/>
    </font>
    <font>
      <sz val="16"/>
      <color rgb="FFC00000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9" fontId="14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2" fontId="4" fillId="0" borderId="1" xfId="0" applyNumberFormat="1" applyFont="1" applyBorder="1" applyAlignment="1">
      <alignment horizontal="right" wrapText="1"/>
    </xf>
    <xf numFmtId="2" fontId="4" fillId="0" borderId="9" xfId="0" applyNumberFormat="1" applyFont="1" applyBorder="1" applyAlignment="1">
      <alignment vertical="top"/>
    </xf>
    <xf numFmtId="0" fontId="6" fillId="0" borderId="0" xfId="0" applyFont="1">
      <alignment vertical="center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wrapText="1"/>
    </xf>
    <xf numFmtId="1" fontId="9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0" xfId="0" applyFont="1">
      <alignment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3" fontId="9" fillId="3" borderId="0" xfId="0" applyNumberFormat="1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wrapText="1"/>
    </xf>
    <xf numFmtId="2" fontId="9" fillId="4" borderId="1" xfId="0" applyNumberFormat="1" applyFont="1" applyFill="1" applyBorder="1" applyAlignment="1">
      <alignment horizontal="left" wrapText="1"/>
    </xf>
    <xf numFmtId="0" fontId="8" fillId="4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3" borderId="0" xfId="0" applyNumberFormat="1" applyFont="1" applyFill="1" applyAlignment="1">
      <alignment wrapText="1"/>
    </xf>
    <xf numFmtId="2" fontId="9" fillId="0" borderId="1" xfId="0" applyNumberFormat="1" applyFont="1" applyBorder="1" applyAlignment="1">
      <alignment horizontal="left" wrapText="1"/>
    </xf>
    <xf numFmtId="0" fontId="9" fillId="0" borderId="2" xfId="0" applyFont="1" applyFill="1" applyBorder="1" applyAlignment="1">
      <alignment vertical="center" wrapText="1"/>
    </xf>
    <xf numFmtId="0" fontId="9" fillId="0" borderId="10" xfId="0" applyFont="1" applyBorder="1">
      <alignment vertical="center"/>
    </xf>
    <xf numFmtId="10" fontId="0" fillId="0" borderId="0" xfId="1" applyNumberFormat="1" applyFont="1" applyAlignment="1">
      <alignment vertical="center"/>
    </xf>
    <xf numFmtId="10" fontId="0" fillId="5" borderId="0" xfId="1" applyNumberFormat="1" applyFont="1" applyFill="1" applyAlignment="1">
      <alignment vertical="center"/>
    </xf>
    <xf numFmtId="0" fontId="0" fillId="5" borderId="0" xfId="0" applyFill="1">
      <alignment vertical="center"/>
    </xf>
    <xf numFmtId="0" fontId="4" fillId="0" borderId="1" xfId="0" applyFont="1" applyBorder="1" applyAlignment="1">
      <alignment horizontal="left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wrapText="1"/>
    </xf>
    <xf numFmtId="0" fontId="16" fillId="0" borderId="0" xfId="0" applyFont="1" applyAlignment="1"/>
    <xf numFmtId="1" fontId="9" fillId="3" borderId="0" xfId="1" applyNumberFormat="1" applyFont="1" applyFill="1" applyAlignment="1">
      <alignment wrapText="1"/>
    </xf>
    <xf numFmtId="0" fontId="9" fillId="0" borderId="4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20" fillId="0" borderId="1" xfId="4" applyFont="1" applyBorder="1" applyAlignment="1">
      <alignment vertical="top" wrapText="1"/>
    </xf>
    <xf numFmtId="0" fontId="20" fillId="0" borderId="1" xfId="4" applyFont="1" applyBorder="1" applyAlignment="1">
      <alignment horizontal="center" vertical="top" wrapText="1"/>
    </xf>
    <xf numFmtId="0" fontId="1" fillId="0" borderId="0" xfId="4" applyAlignment="1">
      <alignment wrapText="1"/>
    </xf>
    <xf numFmtId="0" fontId="21" fillId="0" borderId="1" xfId="4" applyFont="1" applyFill="1" applyBorder="1" applyAlignment="1">
      <alignment horizontal="left" vertical="top" wrapText="1"/>
    </xf>
    <xf numFmtId="0" fontId="21" fillId="0" borderId="4" xfId="4" applyFont="1" applyFill="1" applyBorder="1" applyAlignment="1">
      <alignment horizontal="left" vertical="top" wrapText="1"/>
    </xf>
    <xf numFmtId="0" fontId="21" fillId="0" borderId="4" xfId="4" applyFont="1" applyFill="1" applyBorder="1" applyAlignment="1">
      <alignment horizontal="center" vertical="top"/>
    </xf>
    <xf numFmtId="0" fontId="21" fillId="0" borderId="1" xfId="4" applyFont="1" applyFill="1" applyBorder="1" applyAlignment="1">
      <alignment horizontal="center" vertical="center" wrapText="1"/>
    </xf>
    <xf numFmtId="166" fontId="21" fillId="0" borderId="1" xfId="5" applyNumberFormat="1" applyFont="1" applyFill="1" applyBorder="1" applyAlignment="1">
      <alignment horizontal="center" vertical="center"/>
    </xf>
    <xf numFmtId="2" fontId="21" fillId="0" borderId="1" xfId="4" applyNumberFormat="1" applyFont="1" applyFill="1" applyBorder="1" applyAlignment="1">
      <alignment horizontal="center" vertical="center"/>
    </xf>
    <xf numFmtId="166" fontId="1" fillId="0" borderId="1" xfId="5" applyNumberFormat="1" applyFont="1" applyFill="1" applyBorder="1" applyAlignment="1">
      <alignment horizontal="center" vertical="center"/>
    </xf>
    <xf numFmtId="0" fontId="1" fillId="0" borderId="0" xfId="4"/>
    <xf numFmtId="0" fontId="21" fillId="0" borderId="1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vertical="top"/>
    </xf>
    <xf numFmtId="0" fontId="21" fillId="0" borderId="4" xfId="4" applyFont="1" applyFill="1" applyBorder="1" applyAlignment="1">
      <alignment vertical="top"/>
    </xf>
    <xf numFmtId="166" fontId="21" fillId="0" borderId="1" xfId="5" applyNumberFormat="1" applyFont="1" applyBorder="1" applyAlignment="1">
      <alignment horizontal="center" vertical="center"/>
    </xf>
    <xf numFmtId="0" fontId="1" fillId="0" borderId="0" xfId="4" applyAlignment="1">
      <alignment horizontal="center"/>
    </xf>
    <xf numFmtId="0" fontId="1" fillId="0" borderId="1" xfId="4" applyBorder="1"/>
    <xf numFmtId="0" fontId="1" fillId="0" borderId="1" xfId="4" applyBorder="1" applyAlignment="1">
      <alignment horizontal="center"/>
    </xf>
    <xf numFmtId="2" fontId="1" fillId="0" borderId="1" xfId="4" applyNumberFormat="1" applyBorder="1" applyAlignment="1">
      <alignment horizontal="center"/>
    </xf>
    <xf numFmtId="2" fontId="21" fillId="0" borderId="1" xfId="4" applyNumberFormat="1" applyFont="1" applyBorder="1" applyAlignment="1">
      <alignment horizontal="center"/>
    </xf>
    <xf numFmtId="0" fontId="1" fillId="0" borderId="0" xfId="4" applyFill="1"/>
    <xf numFmtId="0" fontId="19" fillId="7" borderId="0" xfId="3"/>
    <xf numFmtId="2" fontId="19" fillId="7" borderId="0" xfId="3" applyNumberFormat="1" applyBorder="1" applyAlignment="1">
      <alignment horizontal="center"/>
    </xf>
    <xf numFmtId="166" fontId="1" fillId="0" borderId="0" xfId="4" applyNumberFormat="1"/>
    <xf numFmtId="0" fontId="18" fillId="6" borderId="0" xfId="2" applyBorder="1"/>
    <xf numFmtId="2" fontId="18" fillId="6" borderId="0" xfId="2" applyNumberFormat="1" applyAlignment="1">
      <alignment horizontal="center"/>
    </xf>
    <xf numFmtId="9" fontId="0" fillId="0" borderId="0" xfId="5" applyFont="1"/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8" fillId="4" borderId="4" xfId="0" applyNumberFormat="1" applyFont="1" applyFill="1" applyBorder="1" applyAlignment="1">
      <alignment horizontal="center" wrapText="1"/>
    </xf>
    <xf numFmtId="0" fontId="1" fillId="0" borderId="0" xfId="4" applyAlignment="1">
      <alignment horizontal="left" vertical="center"/>
    </xf>
    <xf numFmtId="0" fontId="17" fillId="0" borderId="8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</cellXfs>
  <cellStyles count="6">
    <cellStyle name="Bad" xfId="3" builtinId="27"/>
    <cellStyle name="Good" xfId="2" builtinId="26"/>
    <cellStyle name="Normal" xfId="0" builtinId="0"/>
    <cellStyle name="Normal 2" xfId="4" xr:uid="{344566E1-0EEB-4436-B7F5-6512C2717CF2}"/>
    <cellStyle name="Percent" xfId="1" builtinId="5"/>
    <cellStyle name="Percent 2" xfId="5" xr:uid="{AF10DFFC-DB44-41B0-A559-9902E5B2490F}"/>
  </cellStyles>
  <dxfs count="386">
    <dxf>
      <font>
        <b val="0"/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yriad Pr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Myriad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85"/>
      <tableStyleElement type="headerRow" dxfId="38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00"/>
      <rgbColor rgb="00C9DAF8"/>
      <rgbColor rgb="00D0E0E3"/>
      <rgbColor rgb="00B6D7A8"/>
      <rgbColor rgb="00CFE2F3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24131</xdr:colOff>
      <xdr:row>1</xdr:row>
      <xdr:rowOff>148590</xdr:rowOff>
    </xdr:from>
    <xdr:to>
      <xdr:col>10</xdr:col>
      <xdr:colOff>266701</xdr:colOff>
      <xdr:row>1</xdr:row>
      <xdr:rowOff>1573477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8631" y="618490"/>
          <a:ext cx="1033780" cy="14248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221346</xdr:colOff>
      <xdr:row>1</xdr:row>
      <xdr:rowOff>171450</xdr:rowOff>
    </xdr:from>
    <xdr:to>
      <xdr:col>10</xdr:col>
      <xdr:colOff>464097</xdr:colOff>
      <xdr:row>1</xdr:row>
      <xdr:rowOff>1596337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260" y="639536"/>
          <a:ext cx="1026523" cy="14248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221346</xdr:colOff>
      <xdr:row>1</xdr:row>
      <xdr:rowOff>171450</xdr:rowOff>
    </xdr:from>
    <xdr:to>
      <xdr:col>10</xdr:col>
      <xdr:colOff>464097</xdr:colOff>
      <xdr:row>1</xdr:row>
      <xdr:rowOff>1596337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88A441-E14A-412B-8145-C76D70004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476" y="640080"/>
          <a:ext cx="1023801" cy="14248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243114</xdr:colOff>
      <xdr:row>1</xdr:row>
      <xdr:rowOff>171450</xdr:rowOff>
    </xdr:from>
    <xdr:to>
      <xdr:col>9</xdr:col>
      <xdr:colOff>485864</xdr:colOff>
      <xdr:row>1</xdr:row>
      <xdr:rowOff>1596337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6928" y="639536"/>
          <a:ext cx="1026522" cy="142488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243114</xdr:colOff>
      <xdr:row>1</xdr:row>
      <xdr:rowOff>171450</xdr:rowOff>
    </xdr:from>
    <xdr:to>
      <xdr:col>8</xdr:col>
      <xdr:colOff>485864</xdr:colOff>
      <xdr:row>1</xdr:row>
      <xdr:rowOff>1596337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0A00C8-B322-4CCB-92C1-96BC2196F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4954" y="640080"/>
          <a:ext cx="1023800" cy="1424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24131</xdr:colOff>
      <xdr:row>1</xdr:row>
      <xdr:rowOff>148590</xdr:rowOff>
    </xdr:from>
    <xdr:to>
      <xdr:col>10</xdr:col>
      <xdr:colOff>266701</xdr:colOff>
      <xdr:row>1</xdr:row>
      <xdr:rowOff>1573477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3B381C-39DB-4AF3-B783-CDB35690A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4501" y="617220"/>
          <a:ext cx="1027430" cy="1424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24131</xdr:colOff>
      <xdr:row>1</xdr:row>
      <xdr:rowOff>148590</xdr:rowOff>
    </xdr:from>
    <xdr:to>
      <xdr:col>10</xdr:col>
      <xdr:colOff>266701</xdr:colOff>
      <xdr:row>1</xdr:row>
      <xdr:rowOff>1571572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B4A915-33DE-4566-BA8B-EEEF627F6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4501" y="617220"/>
          <a:ext cx="1027430" cy="1424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147867</xdr:colOff>
      <xdr:row>1</xdr:row>
      <xdr:rowOff>184150</xdr:rowOff>
    </xdr:from>
    <xdr:to>
      <xdr:col>10</xdr:col>
      <xdr:colOff>390619</xdr:colOff>
      <xdr:row>1</xdr:row>
      <xdr:rowOff>1609037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2967" y="652236"/>
          <a:ext cx="1026523" cy="14248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147867</xdr:colOff>
      <xdr:row>1</xdr:row>
      <xdr:rowOff>184150</xdr:rowOff>
    </xdr:from>
    <xdr:to>
      <xdr:col>10</xdr:col>
      <xdr:colOff>390619</xdr:colOff>
      <xdr:row>1</xdr:row>
      <xdr:rowOff>1609037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0E35FF-3780-43FF-947A-7AD480ECD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537" y="652780"/>
          <a:ext cx="1023802" cy="14248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147867</xdr:colOff>
      <xdr:row>1</xdr:row>
      <xdr:rowOff>184150</xdr:rowOff>
    </xdr:from>
    <xdr:to>
      <xdr:col>9</xdr:col>
      <xdr:colOff>390619</xdr:colOff>
      <xdr:row>1</xdr:row>
      <xdr:rowOff>1609037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C48BC7-C42B-4987-852C-264B84932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537" y="652780"/>
          <a:ext cx="1023802" cy="14248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749300</xdr:colOff>
      <xdr:row>1</xdr:row>
      <xdr:rowOff>114300</xdr:rowOff>
    </xdr:from>
    <xdr:to>
      <xdr:col>10</xdr:col>
      <xdr:colOff>208280</xdr:colOff>
      <xdr:row>1</xdr:row>
      <xdr:rowOff>1539187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50" y="584200"/>
          <a:ext cx="1033780" cy="14248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749300</xdr:colOff>
      <xdr:row>1</xdr:row>
      <xdr:rowOff>114300</xdr:rowOff>
    </xdr:from>
    <xdr:to>
      <xdr:col>10</xdr:col>
      <xdr:colOff>208280</xdr:colOff>
      <xdr:row>1</xdr:row>
      <xdr:rowOff>1539187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8C79B5-7515-4434-986F-D40135FC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5780" y="582930"/>
          <a:ext cx="1021080" cy="14248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749300</xdr:colOff>
      <xdr:row>1</xdr:row>
      <xdr:rowOff>114300</xdr:rowOff>
    </xdr:from>
    <xdr:to>
      <xdr:col>10</xdr:col>
      <xdr:colOff>208280</xdr:colOff>
      <xdr:row>1</xdr:row>
      <xdr:rowOff>1539187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5FA4B0-7161-4FB5-A17F-ED4EB5443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5780" y="582930"/>
          <a:ext cx="1021080" cy="14248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S16" totalsRowShown="0" headerRowDxfId="365" dataDxfId="363" headerRowBorderDxfId="364" tableBorderDxfId="362" totalsRowBorderDxfId="361">
  <sortState ref="A5:S16">
    <sortCondition ref="S5:S16"/>
    <sortCondition ref="R5:R16"/>
  </sortState>
  <tableColumns count="19">
    <tableColumn id="1" xr3:uid="{00000000-0010-0000-0000-000001000000}" name="Rank" dataDxfId="360"/>
    <tableColumn id="2" xr3:uid="{00000000-0010-0000-0000-000002000000}" name="Surname" dataDxfId="359">
      <calculatedColumnFormula>'2019 OKC Results'!C20</calculatedColumnFormula>
    </tableColumn>
    <tableColumn id="3" xr3:uid="{00000000-0010-0000-0000-000003000000}" name="Given Name" dataDxfId="358">
      <calculatedColumnFormula>'2019 OKC Results'!D20</calculatedColumnFormula>
    </tableColumn>
    <tableColumn id="5" xr3:uid="{00000000-0010-0000-0000-000005000000}" name="Cat" dataDxfId="357">
      <calculatedColumnFormula>'2019 OKC Results'!E20</calculatedColumnFormula>
    </tableColumn>
    <tableColumn id="6" xr3:uid="{00000000-0010-0000-0000-000006000000}" name="Column1" dataDxfId="356">
      <calculatedColumnFormula>'2019 OKC Results'!F20</calculatedColumnFormula>
    </tableColumn>
    <tableColumn id="7" xr3:uid="{00000000-0010-0000-0000-000007000000}" name="Run #1 Score" dataDxfId="355">
      <calculatedColumnFormula>'2019 OKC Results'!G20</calculatedColumnFormula>
    </tableColumn>
    <tableColumn id="8" xr3:uid="{00000000-0010-0000-0000-000008000000}" name="Run #1 %" dataDxfId="354">
      <calculatedColumnFormula>(F5/F$17)*100</calculatedColumnFormula>
    </tableColumn>
    <tableColumn id="9" xr3:uid="{00000000-0010-0000-0000-000009000000}" name="Run #1 Points" dataDxfId="353">
      <calculatedColumnFormula>IF((RANK(F5,F$5:F$16,1)=1),0,RANK(F5,F$5:F$16,1))</calculatedColumnFormula>
    </tableColumn>
    <tableColumn id="10" xr3:uid="{00000000-0010-0000-0000-00000A000000}" name="Run #2 Score" dataDxfId="352">
      <calculatedColumnFormula>'2019 OKC Results'!H20</calculatedColumnFormula>
    </tableColumn>
    <tableColumn id="11" xr3:uid="{00000000-0010-0000-0000-00000B000000}" name="Run #2 %" dataDxfId="351">
      <calculatedColumnFormula>(I5/I$17)*100</calculatedColumnFormula>
    </tableColumn>
    <tableColumn id="12" xr3:uid="{00000000-0010-0000-0000-00000C000000}" name="Run #2 Points" dataDxfId="350">
      <calculatedColumnFormula>IF((RANK(I5,I$5:I$16,1)=1),0,RANK(I5,I$5:I$16,1))</calculatedColumnFormula>
    </tableColumn>
    <tableColumn id="13" xr3:uid="{00000000-0010-0000-0000-00000D000000}" name="Run #3 Score" dataDxfId="349">
      <calculatedColumnFormula>'2019 OKC Results'!I20</calculatedColumnFormula>
    </tableColumn>
    <tableColumn id="14" xr3:uid="{00000000-0010-0000-0000-00000E000000}" name="Run #3 %" dataDxfId="348">
      <calculatedColumnFormula>(L5/L$17)*100</calculatedColumnFormula>
    </tableColumn>
    <tableColumn id="15" xr3:uid="{00000000-0010-0000-0000-00000F000000}" name="Run #3 Points" dataDxfId="347">
      <calculatedColumnFormula>IF((RANK(L5,L$5:L$16,1)=1),0,RANK(L5,L$5:L$16,1))</calculatedColumnFormula>
    </tableColumn>
    <tableColumn id="16" xr3:uid="{00000000-0010-0000-0000-000010000000}" name="Run #4 Score" dataDxfId="346">
      <calculatedColumnFormula>'2019 OKC Results'!J20</calculatedColumnFormula>
    </tableColumn>
    <tableColumn id="17" xr3:uid="{00000000-0010-0000-0000-000011000000}" name="Run #4 %" dataDxfId="345">
      <calculatedColumnFormula>(O5/O$17)*100</calculatedColumnFormula>
    </tableColumn>
    <tableColumn id="18" xr3:uid="{00000000-0010-0000-0000-000012000000}" name="Run #4 Points" dataDxfId="344">
      <calculatedColumnFormula>IF((RANK(O5,O$5:O$16,1)=1),0,RANK(O5,O$5:O$16,1))</calculatedColumnFormula>
    </tableColumn>
    <tableColumn id="19" xr3:uid="{00000000-0010-0000-0000-000013000000}" name="Tie-Break %" dataDxfId="343">
      <calculatedColumnFormula>IF((COUNT(G5,J5,M5,P5)&gt;3),(SUM(G5,J5,M5,P5)-MAX(G5,J5,M5,P5)),SUM(G5,J5,M5,P5))</calculatedColumnFormula>
    </tableColumn>
    <tableColumn id="20" xr3:uid="{00000000-0010-0000-0000-000014000000}" name="Overall Points" dataDxfId="342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27" displayName="Table27" ref="A4:S6" totalsRowShown="0" headerRowDxfId="104" dataDxfId="102" headerRowBorderDxfId="103" tableBorderDxfId="101" totalsRowBorderDxfId="100">
  <sortState ref="A5:S6">
    <sortCondition ref="S5:S6"/>
    <sortCondition ref="R5:R6"/>
  </sortState>
  <tableColumns count="19">
    <tableColumn id="1" xr3:uid="{00000000-0010-0000-0900-000001000000}" name="Rank" dataDxfId="99"/>
    <tableColumn id="2" xr3:uid="{00000000-0010-0000-0900-000002000000}" name="Surname" dataDxfId="98">
      <calculatedColumnFormula>'2019 OKC Results'!#REF!</calculatedColumnFormula>
    </tableColumn>
    <tableColumn id="3" xr3:uid="{00000000-0010-0000-0900-000003000000}" name="Given Name" dataDxfId="97">
      <calculatedColumnFormula>'2019 OKC Results'!#REF!</calculatedColumnFormula>
    </tableColumn>
    <tableColumn id="5" xr3:uid="{00000000-0010-0000-0900-000005000000}" name="Cat" dataDxfId="96">
      <calculatedColumnFormula>'2019 OKC Results'!#REF!</calculatedColumnFormula>
    </tableColumn>
    <tableColumn id="4" xr3:uid="{00000000-0010-0000-0900-000004000000}" name="Column1" dataDxfId="95"/>
    <tableColumn id="7" xr3:uid="{00000000-0010-0000-0900-000007000000}" name="Run #1 Score" dataDxfId="94">
      <calculatedColumnFormula>'2019 OKC Results'!#REF!</calculatedColumnFormula>
    </tableColumn>
    <tableColumn id="8" xr3:uid="{00000000-0010-0000-0900-000008000000}" name="Run #1 %" dataDxfId="93">
      <calculatedColumnFormula>(F5/F$7)*100</calculatedColumnFormula>
    </tableColumn>
    <tableColumn id="9" xr3:uid="{00000000-0010-0000-0900-000009000000}" name="Run #1 Points" dataDxfId="92">
      <calculatedColumnFormula>IF((RANK(F5,F$5:F$6,1)=1),0,RANK(F5,F$5:F$6,1))</calculatedColumnFormula>
    </tableColumn>
    <tableColumn id="10" xr3:uid="{00000000-0010-0000-0900-00000A000000}" name="Run #2 Score" dataDxfId="91">
      <calculatedColumnFormula>'2019 OKC Results'!#REF!</calculatedColumnFormula>
    </tableColumn>
    <tableColumn id="11" xr3:uid="{00000000-0010-0000-0900-00000B000000}" name="Run #2 %" dataDxfId="90">
      <calculatedColumnFormula>(I5/I$7)*100</calculatedColumnFormula>
    </tableColumn>
    <tableColumn id="12" xr3:uid="{00000000-0010-0000-0900-00000C000000}" name="Run #2 Points" dataDxfId="89">
      <calculatedColumnFormula>IF((RANK(I5,I$5:I$6,1)=1),0,RANK(I5,I$5:I$6,1))</calculatedColumnFormula>
    </tableColumn>
    <tableColumn id="13" xr3:uid="{00000000-0010-0000-0900-00000D000000}" name="Run #3 Score" dataDxfId="88">
      <calculatedColumnFormula>'2019 OKC Results'!#REF!</calculatedColumnFormula>
    </tableColumn>
    <tableColumn id="14" xr3:uid="{00000000-0010-0000-0900-00000E000000}" name="Run #3 %" dataDxfId="87">
      <calculatedColumnFormula>(L5/L$7)*100</calculatedColumnFormula>
    </tableColumn>
    <tableColumn id="15" xr3:uid="{00000000-0010-0000-0900-00000F000000}" name="Run #3 Points" dataDxfId="86">
      <calculatedColumnFormula>IF((RANK(L5,L$5:L$6,1)=1),0,RANK(L5,L$5:L$6,1))</calculatedColumnFormula>
    </tableColumn>
    <tableColumn id="16" xr3:uid="{00000000-0010-0000-0900-000010000000}" name="Run #4 Score" dataDxfId="85">
      <calculatedColumnFormula>'2019 OKC Results'!#REF!</calculatedColumnFormula>
    </tableColumn>
    <tableColumn id="17" xr3:uid="{00000000-0010-0000-0900-000011000000}" name="Run #4 %" dataDxfId="84">
      <calculatedColumnFormula>(O5/O$7)*100</calculatedColumnFormula>
    </tableColumn>
    <tableColumn id="18" xr3:uid="{00000000-0010-0000-0900-000012000000}" name="Run #4 Points" dataDxfId="83">
      <calculatedColumnFormula>IF((RANK(O5,O$5:O$6,1)=1),0,RANK(O5,O$5:O$6,1))</calculatedColumnFormula>
    </tableColumn>
    <tableColumn id="19" xr3:uid="{00000000-0010-0000-0900-000013000000}" name="Tie-Break %" dataDxfId="82">
      <calculatedColumnFormula>IF((COUNT(G5,J5,M5,P5)&gt;3),(SUM(G5,J5,M5,P5)-MAX(G5,J5,M5,P5)),SUM(G5,J5,M5,P5))</calculatedColumnFormula>
    </tableColumn>
    <tableColumn id="20" xr3:uid="{00000000-0010-0000-0900-000014000000}" name="Overall Points" dataDxfId="81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Table2718" displayName="Table2718" ref="A4:S5" totalsRowShown="0" headerRowDxfId="79" dataDxfId="77" headerRowBorderDxfId="78" tableBorderDxfId="76" totalsRowBorderDxfId="75">
  <sortState ref="A5:S6">
    <sortCondition ref="S5:S6"/>
    <sortCondition ref="R5:R6"/>
  </sortState>
  <tableColumns count="19">
    <tableColumn id="1" xr3:uid="{00000000-0010-0000-0A00-000001000000}" name="Rank" dataDxfId="74"/>
    <tableColumn id="2" xr3:uid="{00000000-0010-0000-0A00-000002000000}" name="Surname" dataDxfId="73">
      <calculatedColumnFormula>'2019 OKC Results'!#REF!</calculatedColumnFormula>
    </tableColumn>
    <tableColumn id="3" xr3:uid="{00000000-0010-0000-0A00-000003000000}" name="Given Name" dataDxfId="72">
      <calculatedColumnFormula>'2019 OKC Results'!#REF!</calculatedColumnFormula>
    </tableColumn>
    <tableColumn id="5" xr3:uid="{00000000-0010-0000-0A00-000005000000}" name="Cat" dataDxfId="71">
      <calculatedColumnFormula>'2019 OKC Results'!#REF!</calculatedColumnFormula>
    </tableColumn>
    <tableColumn id="4" xr3:uid="{00000000-0010-0000-0A00-000004000000}" name="Column1" dataDxfId="70"/>
    <tableColumn id="7" xr3:uid="{00000000-0010-0000-0A00-000007000000}" name="Run #1 Score" dataDxfId="69">
      <calculatedColumnFormula>'2019 OKC Results'!#REF!</calculatedColumnFormula>
    </tableColumn>
    <tableColumn id="8" xr3:uid="{00000000-0010-0000-0A00-000008000000}" name="Run #1 %" dataDxfId="68">
      <calculatedColumnFormula>(F5/F$6)*100</calculatedColumnFormula>
    </tableColumn>
    <tableColumn id="9" xr3:uid="{00000000-0010-0000-0A00-000009000000}" name="Run #1 Points" dataDxfId="67">
      <calculatedColumnFormula>IF((RANK(F5,F$5:F$5,1)=1),0,RANK(F5,F$5:F$5,1))</calculatedColumnFormula>
    </tableColumn>
    <tableColumn id="10" xr3:uid="{00000000-0010-0000-0A00-00000A000000}" name="Run #2 Score" dataDxfId="66">
      <calculatedColumnFormula>'2019 OKC Results'!#REF!</calculatedColumnFormula>
    </tableColumn>
    <tableColumn id="11" xr3:uid="{00000000-0010-0000-0A00-00000B000000}" name="Run #2 %" dataDxfId="65">
      <calculatedColumnFormula>(I5/I$6)*100</calculatedColumnFormula>
    </tableColumn>
    <tableColumn id="12" xr3:uid="{00000000-0010-0000-0A00-00000C000000}" name="Run #2 Points" dataDxfId="64">
      <calculatedColumnFormula>IF((RANK(I5,I$5:I$5,1)=1),0,RANK(I5,I$5:I$5,1))</calculatedColumnFormula>
    </tableColumn>
    <tableColumn id="13" xr3:uid="{00000000-0010-0000-0A00-00000D000000}" name="Run #3 Score" dataDxfId="63">
      <calculatedColumnFormula>'2019 OKC Results'!#REF!</calculatedColumnFormula>
    </tableColumn>
    <tableColumn id="14" xr3:uid="{00000000-0010-0000-0A00-00000E000000}" name="Run #3 %" dataDxfId="62">
      <calculatedColumnFormula>(L5/L$6)*100</calculatedColumnFormula>
    </tableColumn>
    <tableColumn id="15" xr3:uid="{00000000-0010-0000-0A00-00000F000000}" name="Run #3 Points" dataDxfId="61">
      <calculatedColumnFormula>IF((RANK(L5,L$5:L$5,1)=1),0,RANK(L5,L$5:L$5,1))</calculatedColumnFormula>
    </tableColumn>
    <tableColumn id="16" xr3:uid="{00000000-0010-0000-0A00-000010000000}" name="Run #4 Score" dataDxfId="60">
      <calculatedColumnFormula>'2019 OKC Results'!#REF!</calculatedColumnFormula>
    </tableColumn>
    <tableColumn id="17" xr3:uid="{00000000-0010-0000-0A00-000011000000}" name="Run #4 %" dataDxfId="59">
      <calculatedColumnFormula>(O5/O$6)*100</calculatedColumnFormula>
    </tableColumn>
    <tableColumn id="18" xr3:uid="{00000000-0010-0000-0A00-000012000000}" name="Run #4 Points" dataDxfId="58">
      <calculatedColumnFormula>IF((RANK(O5,O$5:O$5,1)=1),0,RANK(O5,O$5:O$5,1))</calculatedColumnFormula>
    </tableColumn>
    <tableColumn id="19" xr3:uid="{00000000-0010-0000-0A00-000013000000}" name="Tie-Break %" dataDxfId="57">
      <calculatedColumnFormula>IF((COUNT(G5,J5,M5,P5)&gt;3),(SUM(G5,J5,M5,P5)-MAX(G5,J5,M5,P5)),SUM(G5,J5,M5,P5))</calculatedColumnFormula>
    </tableColumn>
    <tableColumn id="20" xr3:uid="{00000000-0010-0000-0A00-000014000000}" name="Overall Points" dataDxfId="56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B000000}" name="Table272" displayName="Table272" ref="A4:S5" totalsRowShown="0" headerRowDxfId="54" dataDxfId="52" headerRowBorderDxfId="53" tableBorderDxfId="51" totalsRowBorderDxfId="50">
  <autoFilter ref="A4:S5" xr:uid="{00000000-0009-0000-0100-000001000000}"/>
  <sortState ref="A5:S5">
    <sortCondition ref="S5"/>
    <sortCondition ref="R5"/>
  </sortState>
  <tableColumns count="19">
    <tableColumn id="1" xr3:uid="{00000000-0010-0000-0B00-000001000000}" name="Rank" dataDxfId="49">
      <calculatedColumnFormula>RANK(S5,S$5:S$5,1)</calculatedColumnFormula>
    </tableColumn>
    <tableColumn id="2" xr3:uid="{00000000-0010-0000-0B00-000002000000}" name="Surname" dataDxfId="48"/>
    <tableColumn id="3" xr3:uid="{00000000-0010-0000-0B00-000003000000}" name="Given Name" dataDxfId="47"/>
    <tableColumn id="5" xr3:uid="{00000000-0010-0000-0B00-000005000000}" name="Cat" dataDxfId="46"/>
    <tableColumn id="4" xr3:uid="{00000000-0010-0000-0B00-000004000000}" name="Column1" dataDxfId="45"/>
    <tableColumn id="7" xr3:uid="{00000000-0010-0000-0B00-000007000000}" name="Run #1 Score" dataDxfId="44"/>
    <tableColumn id="8" xr3:uid="{00000000-0010-0000-0B00-000008000000}" name="Run #1 %" dataDxfId="43"/>
    <tableColumn id="9" xr3:uid="{00000000-0010-0000-0B00-000009000000}" name="Run #1 Points" dataDxfId="42"/>
    <tableColumn id="10" xr3:uid="{00000000-0010-0000-0B00-00000A000000}" name="Run #2 Score" dataDxfId="41"/>
    <tableColumn id="11" xr3:uid="{00000000-0010-0000-0B00-00000B000000}" name="Run #2 %" dataDxfId="40"/>
    <tableColumn id="12" xr3:uid="{00000000-0010-0000-0B00-00000C000000}" name="Run #2 Points" dataDxfId="39"/>
    <tableColumn id="13" xr3:uid="{00000000-0010-0000-0B00-00000D000000}" name="Run #3 Score" dataDxfId="38"/>
    <tableColumn id="14" xr3:uid="{00000000-0010-0000-0B00-00000E000000}" name="Run #3 %" dataDxfId="37"/>
    <tableColumn id="15" xr3:uid="{00000000-0010-0000-0B00-00000F000000}" name="Run #3 Points" dataDxfId="36"/>
    <tableColumn id="16" xr3:uid="{00000000-0010-0000-0B00-000010000000}" name="Run #4 Score" dataDxfId="35"/>
    <tableColumn id="17" xr3:uid="{00000000-0010-0000-0B00-000011000000}" name="Run #4 %" dataDxfId="34"/>
    <tableColumn id="18" xr3:uid="{00000000-0010-0000-0B00-000012000000}" name="Run #4 Points" dataDxfId="33"/>
    <tableColumn id="19" xr3:uid="{00000000-0010-0000-0B00-000013000000}" name="Tie-Break %" dataDxfId="32"/>
    <tableColumn id="20" xr3:uid="{00000000-0010-0000-0B00-000014000000}" name="Overall Points" dataDxfId="31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C000000}" name="Table27220" displayName="Table27220" ref="A4:R5" totalsRowShown="0" headerRowDxfId="28" dataDxfId="26" headerRowBorderDxfId="27" tableBorderDxfId="25" totalsRowBorderDxfId="24">
  <autoFilter ref="A4:R5" xr:uid="{00000000-0009-0000-0100-000013000000}"/>
  <sortState ref="A5:R6">
    <sortCondition ref="R5:R6"/>
    <sortCondition ref="Q5:Q6"/>
  </sortState>
  <tableColumns count="18">
    <tableColumn id="1" xr3:uid="{00000000-0010-0000-0C00-000001000000}" name="Rank" dataDxfId="23">
      <calculatedColumnFormula>RANK(R5,R$5:R$5,1)</calculatedColumnFormula>
    </tableColumn>
    <tableColumn id="2" xr3:uid="{00000000-0010-0000-0C00-000002000000}" name="Surname" dataDxfId="22">
      <calculatedColumnFormula>'2019 OKC Results'!C37</calculatedColumnFormula>
    </tableColumn>
    <tableColumn id="3" xr3:uid="{00000000-0010-0000-0C00-000003000000}" name="Given Name" dataDxfId="21">
      <calculatedColumnFormula>'2019 OKC Results'!D37</calculatedColumnFormula>
    </tableColumn>
    <tableColumn id="5" xr3:uid="{00000000-0010-0000-0C00-000005000000}" name="Cat" dataDxfId="20">
      <calculatedColumnFormula>'2019 OKC Results'!F37</calculatedColumnFormula>
    </tableColumn>
    <tableColumn id="7" xr3:uid="{00000000-0010-0000-0C00-000007000000}" name="Run #1 Score" dataDxfId="19">
      <calculatedColumnFormula>'2019 OKC Results'!G37</calculatedColumnFormula>
    </tableColumn>
    <tableColumn id="8" xr3:uid="{00000000-0010-0000-0C00-000008000000}" name="Run #1 %" dataDxfId="18">
      <calculatedColumnFormula>(E5/E$6)*100</calculatedColumnFormula>
    </tableColumn>
    <tableColumn id="9" xr3:uid="{00000000-0010-0000-0C00-000009000000}" name="Run #1 Points" dataDxfId="17">
      <calculatedColumnFormula>IF((RANK(E5,E$5:E$5,1)=1),0,RANK(E5,E$5:E$5,1))</calculatedColumnFormula>
    </tableColumn>
    <tableColumn id="10" xr3:uid="{00000000-0010-0000-0C00-00000A000000}" name="Run #2 Score" dataDxfId="16">
      <calculatedColumnFormula>'2019 OKC Results'!H37</calculatedColumnFormula>
    </tableColumn>
    <tableColumn id="11" xr3:uid="{00000000-0010-0000-0C00-00000B000000}" name="Run #2 %" dataDxfId="15">
      <calculatedColumnFormula>(H5/H$6)*100</calculatedColumnFormula>
    </tableColumn>
    <tableColumn id="12" xr3:uid="{00000000-0010-0000-0C00-00000C000000}" name="Run #2 Points" dataDxfId="14">
      <calculatedColumnFormula>IF((RANK(H5,H$5:H$5,1)=1),0,RANK(H5,H$5:H$5,1))</calculatedColumnFormula>
    </tableColumn>
    <tableColumn id="13" xr3:uid="{00000000-0010-0000-0C00-00000D000000}" name="Run #3 Score" dataDxfId="13">
      <calculatedColumnFormula>'2019 OKC Results'!I37</calculatedColumnFormula>
    </tableColumn>
    <tableColumn id="14" xr3:uid="{00000000-0010-0000-0C00-00000E000000}" name="Run #3 %" dataDxfId="12">
      <calculatedColumnFormula>(K5/K$6)*100</calculatedColumnFormula>
    </tableColumn>
    <tableColumn id="15" xr3:uid="{00000000-0010-0000-0C00-00000F000000}" name="Run #3 Points" dataDxfId="11">
      <calculatedColumnFormula>IF((RANK(K5,K$5:K$5,1)=1),0,RANK(K5,K$5:K$5,1))</calculatedColumnFormula>
    </tableColumn>
    <tableColumn id="16" xr3:uid="{00000000-0010-0000-0C00-000010000000}" name="Run #4 Score" dataDxfId="10">
      <calculatedColumnFormula>'2019 OKC Results'!J37</calculatedColumnFormula>
    </tableColumn>
    <tableColumn id="17" xr3:uid="{00000000-0010-0000-0C00-000011000000}" name="Run #4 %" dataDxfId="9">
      <calculatedColumnFormula>(N5/N$6)*100</calculatedColumnFormula>
    </tableColumn>
    <tableColumn id="18" xr3:uid="{00000000-0010-0000-0C00-000012000000}" name="Run #4 Points" dataDxfId="8">
      <calculatedColumnFormula>IF((RANK(N5,N$5:N$5,1)=1),0,RANK(N5,N$5:N$5,1))</calculatedColumnFormula>
    </tableColumn>
    <tableColumn id="19" xr3:uid="{00000000-0010-0000-0C00-000013000000}" name="Tie-Break %" dataDxfId="7">
      <calculatedColumnFormula>IF((COUNT(F5,I5,L5,O5)&gt;3),(SUM(F5,I5,L5,O5)-MAX(F5,I5,L5,O5)),SUM(F5,I5,L5,O5))</calculatedColumnFormula>
    </tableColumn>
    <tableColumn id="20" xr3:uid="{00000000-0010-0000-0C00-000014000000}" name="Overall Points" dataDxfId="6">
      <calculatedColumnFormula>IF((COUNT(G5,J5,M5,P5)&gt;3),(SUM(G5,J5,M5,P5)-MAX(G5,J5,M5,P5)),SUM(G5,J5,M5,P5))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e212" displayName="Table212" ref="A4:S14" totalsRowShown="0" headerRowDxfId="336" dataDxfId="334" headerRowBorderDxfId="335" tableBorderDxfId="333" totalsRowBorderDxfId="332">
  <sortState ref="A5:S14">
    <sortCondition ref="S5:S14"/>
    <sortCondition ref="R5:R14"/>
  </sortState>
  <tableColumns count="19">
    <tableColumn id="1" xr3:uid="{00000000-0010-0000-0100-000001000000}" name="Rank" dataDxfId="331"/>
    <tableColumn id="2" xr3:uid="{00000000-0010-0000-0100-000002000000}" name="Surname" dataDxfId="330">
      <calculatedColumnFormula>'2019 OKC Results'!C20</calculatedColumnFormula>
    </tableColumn>
    <tableColumn id="3" xr3:uid="{00000000-0010-0000-0100-000003000000}" name="Given Name" dataDxfId="329">
      <calculatedColumnFormula>'2019 OKC Results'!D20</calculatedColumnFormula>
    </tableColumn>
    <tableColumn id="4" xr3:uid="{00000000-0010-0000-0100-000004000000}" name="Column1" dataDxfId="328">
      <calculatedColumnFormula>'2019 OKC Results'!E20</calculatedColumnFormula>
    </tableColumn>
    <tableColumn id="5" xr3:uid="{00000000-0010-0000-0100-000005000000}" name="Cat" dataDxfId="327">
      <calculatedColumnFormula>'2019 OKC Results'!F20</calculatedColumnFormula>
    </tableColumn>
    <tableColumn id="7" xr3:uid="{00000000-0010-0000-0100-000007000000}" name="Run #1 Score" dataDxfId="326">
      <calculatedColumnFormula>'2019 OKC Results'!G20</calculatedColumnFormula>
    </tableColumn>
    <tableColumn id="8" xr3:uid="{00000000-0010-0000-0100-000008000000}" name="Run #1 %" dataDxfId="325">
      <calculatedColumnFormula>(F5/F$15)*100</calculatedColumnFormula>
    </tableColumn>
    <tableColumn id="9" xr3:uid="{00000000-0010-0000-0100-000009000000}" name="Run #1 Points" dataDxfId="324">
      <calculatedColumnFormula>IF((RANK(F5,F$5:F$14,1)=1),0,RANK(F5,F$5:F$14,1))</calculatedColumnFormula>
    </tableColumn>
    <tableColumn id="10" xr3:uid="{00000000-0010-0000-0100-00000A000000}" name="Run #2 Score" dataDxfId="323">
      <calculatedColumnFormula>'2019 OKC Results'!H20</calculatedColumnFormula>
    </tableColumn>
    <tableColumn id="11" xr3:uid="{00000000-0010-0000-0100-00000B000000}" name="Run #2 %" dataDxfId="322">
      <calculatedColumnFormula>(I5/I$15)*100</calculatedColumnFormula>
    </tableColumn>
    <tableColumn id="12" xr3:uid="{00000000-0010-0000-0100-00000C000000}" name="Run #2 Points" dataDxfId="321">
      <calculatedColumnFormula>IF((RANK(I5,I$5:I$14,1)=1),0,RANK(I5,I$5:I$14,1))</calculatedColumnFormula>
    </tableColumn>
    <tableColumn id="13" xr3:uid="{00000000-0010-0000-0100-00000D000000}" name="Run #3 Score" dataDxfId="320">
      <calculatedColumnFormula>'2019 OKC Results'!I20</calculatedColumnFormula>
    </tableColumn>
    <tableColumn id="14" xr3:uid="{00000000-0010-0000-0100-00000E000000}" name="Run #3 %" dataDxfId="319">
      <calculatedColumnFormula>(L5/L$15)*100</calculatedColumnFormula>
    </tableColumn>
    <tableColumn id="15" xr3:uid="{00000000-0010-0000-0100-00000F000000}" name="Run #3 Points" dataDxfId="318">
      <calculatedColumnFormula>IF((RANK(L5,L$5:L$14,1)=1),0,RANK(L5,L$5:L$14,1))</calculatedColumnFormula>
    </tableColumn>
    <tableColumn id="16" xr3:uid="{00000000-0010-0000-0100-000010000000}" name="Run #4 Score" dataDxfId="317">
      <calculatedColumnFormula>'2019 OKC Results'!J20</calculatedColumnFormula>
    </tableColumn>
    <tableColumn id="17" xr3:uid="{00000000-0010-0000-0100-000011000000}" name="Run #4 %" dataDxfId="316">
      <calculatedColumnFormula>(O5/O$15)*100</calculatedColumnFormula>
    </tableColumn>
    <tableColumn id="18" xr3:uid="{00000000-0010-0000-0100-000012000000}" name="Run #4 Points" dataDxfId="315">
      <calculatedColumnFormula>IF((RANK(O5,O$5:O$14,1)=1),0,RANK(O5,O$5:O$14,1))</calculatedColumnFormula>
    </tableColumn>
    <tableColumn id="19" xr3:uid="{00000000-0010-0000-0100-000013000000}" name="Tie-Break %" dataDxfId="314">
      <calculatedColumnFormula>IF((COUNT(G5,J5,M5,P5)&gt;3),(SUM(G5,J5,M5,P5)-MAX(G5,J5,M5,P5)),SUM(G5,J5,M5,P5))</calculatedColumnFormula>
    </tableColumn>
    <tableColumn id="20" xr3:uid="{00000000-0010-0000-0100-000014000000}" name="Overall Points" dataDxfId="313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21213" displayName="Table21213" ref="A4:S11" totalsRowShown="0" headerRowDxfId="309" dataDxfId="307" headerRowBorderDxfId="308" tableBorderDxfId="306" totalsRowBorderDxfId="305">
  <sortState ref="A5:S11">
    <sortCondition ref="S5:S11"/>
    <sortCondition ref="R5:R11"/>
  </sortState>
  <tableColumns count="19">
    <tableColumn id="1" xr3:uid="{00000000-0010-0000-0200-000001000000}" name="Rank" dataDxfId="304" totalsRowDxfId="303"/>
    <tableColumn id="2" xr3:uid="{00000000-0010-0000-0200-000002000000}" name="Surname" dataDxfId="302" totalsRowDxfId="301">
      <calculatedColumnFormula>'2019 OKC Results'!C20</calculatedColumnFormula>
    </tableColumn>
    <tableColumn id="3" xr3:uid="{00000000-0010-0000-0200-000003000000}" name="Given Name" dataDxfId="300" totalsRowDxfId="299">
      <calculatedColumnFormula>'2019 OKC Results'!D20</calculatedColumnFormula>
    </tableColumn>
    <tableColumn id="5" xr3:uid="{00000000-0010-0000-0200-000005000000}" name="Cat" dataDxfId="298" totalsRowDxfId="297">
      <calculatedColumnFormula>'2019 OKC Results'!E20</calculatedColumnFormula>
    </tableColumn>
    <tableColumn id="4" xr3:uid="{00000000-0010-0000-0200-000004000000}" name="Column1" dataDxfId="296" totalsRowDxfId="295">
      <calculatedColumnFormula>'2019 OKC Results'!F20</calculatedColumnFormula>
    </tableColumn>
    <tableColumn id="7" xr3:uid="{00000000-0010-0000-0200-000007000000}" name="Run #1 Score" dataDxfId="294" totalsRowDxfId="293">
      <calculatedColumnFormula>'2019 OKC Results'!G20</calculatedColumnFormula>
    </tableColumn>
    <tableColumn id="8" xr3:uid="{00000000-0010-0000-0200-000008000000}" name="Run #1 %" dataDxfId="292" totalsRowDxfId="291">
      <calculatedColumnFormula>(F5/F$12)*100</calculatedColumnFormula>
    </tableColumn>
    <tableColumn id="9" xr3:uid="{00000000-0010-0000-0200-000009000000}" name="Run #1 Points" dataDxfId="290" totalsRowDxfId="289">
      <calculatedColumnFormula>IF((RANK(F5,F$5:F$11,1)=1),0,RANK(F5,F$5:F$11,1))</calculatedColumnFormula>
    </tableColumn>
    <tableColumn id="10" xr3:uid="{00000000-0010-0000-0200-00000A000000}" name="Run #2 Score" dataDxfId="288" totalsRowDxfId="287">
      <calculatedColumnFormula>'2019 OKC Results'!H20</calculatedColumnFormula>
    </tableColumn>
    <tableColumn id="11" xr3:uid="{00000000-0010-0000-0200-00000B000000}" name="Run #2 %" dataDxfId="286" totalsRowDxfId="285">
      <calculatedColumnFormula>(I5/I$12)*100</calculatedColumnFormula>
    </tableColumn>
    <tableColumn id="12" xr3:uid="{00000000-0010-0000-0200-00000C000000}" name="Run #2 Points" dataDxfId="284" totalsRowDxfId="283">
      <calculatedColumnFormula>IF((RANK(I5,I$5:I$11,1)=1),0,RANK(I5,I$5:I$11,1))</calculatedColumnFormula>
    </tableColumn>
    <tableColumn id="13" xr3:uid="{00000000-0010-0000-0200-00000D000000}" name="Run #3 Score" dataDxfId="282" totalsRowDxfId="281">
      <calculatedColumnFormula>'2019 OKC Results'!I20</calculatedColumnFormula>
    </tableColumn>
    <tableColumn id="14" xr3:uid="{00000000-0010-0000-0200-00000E000000}" name="Run #3 %" dataDxfId="280" totalsRowDxfId="279">
      <calculatedColumnFormula>(L5/L$12)*100</calculatedColumnFormula>
    </tableColumn>
    <tableColumn id="15" xr3:uid="{00000000-0010-0000-0200-00000F000000}" name="Run #3 Points" dataDxfId="278" totalsRowDxfId="277">
      <calculatedColumnFormula>IF((RANK(L5,L$5:L$11,1)=1),0,RANK(L5,L$5:L$11,1))</calculatedColumnFormula>
    </tableColumn>
    <tableColumn id="16" xr3:uid="{00000000-0010-0000-0200-000010000000}" name="Run #4 Score" dataDxfId="276" totalsRowDxfId="275">
      <calculatedColumnFormula>'2019 OKC Results'!J20</calculatedColumnFormula>
    </tableColumn>
    <tableColumn id="17" xr3:uid="{00000000-0010-0000-0200-000011000000}" name="Run #4 %" dataDxfId="274" totalsRowDxfId="273">
      <calculatedColumnFormula>(O5/O$12)*100</calculatedColumnFormula>
    </tableColumn>
    <tableColumn id="18" xr3:uid="{00000000-0010-0000-0200-000012000000}" name="Run #4 Points" dataDxfId="272" totalsRowDxfId="271">
      <calculatedColumnFormula>IF((RANK(O5,O$5:O$11,1)=1),0,RANK(O5,O$5:O$11,1))</calculatedColumnFormula>
    </tableColumn>
    <tableColumn id="19" xr3:uid="{00000000-0010-0000-0200-000013000000}" name="Tie-Break %" dataDxfId="270" totalsRowDxfId="269">
      <calculatedColumnFormula>IF((COUNT(G5,J5,M5,P5)&gt;3),(SUM(G5,J5,M5,P5)-MAX(G5,J5,M5,P5)),SUM(G5,J5,M5,P5))</calculatedColumnFormula>
    </tableColumn>
    <tableColumn id="20" xr3:uid="{00000000-0010-0000-0200-000014000000}" name="Overall Points" dataDxfId="268" totalsRowDxfId="267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5" displayName="Table25" ref="A4:S10" totalsRowShown="0" headerRowDxfId="265" dataDxfId="263" headerRowBorderDxfId="264" tableBorderDxfId="262" totalsRowBorderDxfId="261">
  <sortState ref="A5:S10">
    <sortCondition ref="S5:S10"/>
    <sortCondition ref="R5:R10"/>
  </sortState>
  <tableColumns count="19">
    <tableColumn id="1" xr3:uid="{00000000-0010-0000-0300-000001000000}" name="Rank" dataDxfId="260">
      <calculatedColumnFormula>RANK(S5,S$5:S$11,1)</calculatedColumnFormula>
    </tableColumn>
    <tableColumn id="2" xr3:uid="{00000000-0010-0000-0300-000002000000}" name="Surname" dataDxfId="259">
      <calculatedColumnFormula>'2019 OKC Results'!C3</calculatedColumnFormula>
    </tableColumn>
    <tableColumn id="3" xr3:uid="{00000000-0010-0000-0300-000003000000}" name="Given Name" dataDxfId="258">
      <calculatedColumnFormula>'2019 OKC Results'!D3</calculatedColumnFormula>
    </tableColumn>
    <tableColumn id="5" xr3:uid="{00000000-0010-0000-0300-000005000000}" name="Cat" dataDxfId="257">
      <calculatedColumnFormula>'2019 OKC Results'!E3</calculatedColumnFormula>
    </tableColumn>
    <tableColumn id="4" xr3:uid="{00000000-0010-0000-0300-000004000000}" name="Column1" dataDxfId="256">
      <calculatedColumnFormula>'2019 OKC Results'!F3</calculatedColumnFormula>
    </tableColumn>
    <tableColumn id="7" xr3:uid="{00000000-0010-0000-0300-000007000000}" name="Run #1 Score" dataDxfId="255">
      <calculatedColumnFormula>'2019 OKC Results'!G3</calculatedColumnFormula>
    </tableColumn>
    <tableColumn id="8" xr3:uid="{00000000-0010-0000-0300-000008000000}" name="Run #1 %" dataDxfId="254">
      <calculatedColumnFormula>(F5/K1M!F$17)*100</calculatedColumnFormula>
    </tableColumn>
    <tableColumn id="9" xr3:uid="{00000000-0010-0000-0300-000009000000}" name="Run #1 Points" dataDxfId="253">
      <calculatedColumnFormula>IF((RANK(F5,F$5:F$10,1)=1),0,RANK(F5,F$5:F$10,1))</calculatedColumnFormula>
    </tableColumn>
    <tableColumn id="10" xr3:uid="{00000000-0010-0000-0300-00000A000000}" name="Run #2 Score" dataDxfId="252">
      <calculatedColumnFormula>'2019 OKC Results'!H3</calculatedColumnFormula>
    </tableColumn>
    <tableColumn id="11" xr3:uid="{00000000-0010-0000-0300-00000B000000}" name="Run #2 %" dataDxfId="251">
      <calculatedColumnFormula>(I5/K1M!I$17)*100</calculatedColumnFormula>
    </tableColumn>
    <tableColumn id="12" xr3:uid="{00000000-0010-0000-0300-00000C000000}" name="Run #2 Points" dataDxfId="250">
      <calculatedColumnFormula>IF((RANK(I5,I$5:I$10,1)=1),0,RANK(I5,I$5:I$10,1))</calculatedColumnFormula>
    </tableColumn>
    <tableColumn id="13" xr3:uid="{00000000-0010-0000-0300-00000D000000}" name="Run #3 Score" dataDxfId="249">
      <calculatedColumnFormula>'2019 OKC Results'!I3</calculatedColumnFormula>
    </tableColumn>
    <tableColumn id="14" xr3:uid="{00000000-0010-0000-0300-00000E000000}" name="Run #3 %" dataDxfId="248">
      <calculatedColumnFormula>(L5/K1M!L$17)*100</calculatedColumnFormula>
    </tableColumn>
    <tableColumn id="15" xr3:uid="{00000000-0010-0000-0300-00000F000000}" name="Run #3 Points" dataDxfId="247">
      <calculatedColumnFormula>IF((RANK(L5,L$5:L$10,1)=1),0,RANK(L5,L$5:L$10,1))</calculatedColumnFormula>
    </tableColumn>
    <tableColumn id="16" xr3:uid="{00000000-0010-0000-0300-000010000000}" name="Run #4 Score" dataDxfId="246">
      <calculatedColumnFormula>'2019 OKC Results'!J3</calculatedColumnFormula>
    </tableColumn>
    <tableColumn id="17" xr3:uid="{00000000-0010-0000-0300-000011000000}" name="Run #4 %" dataDxfId="245">
      <calculatedColumnFormula>(O5/K1M!O$17)*100</calculatedColumnFormula>
    </tableColumn>
    <tableColumn id="18" xr3:uid="{00000000-0010-0000-0300-000012000000}" name="Run #4 Points" dataDxfId="244">
      <calculatedColumnFormula>IF((RANK(O5,O$5:O$10,1)=1),0,RANK(O5,O$5:O$10,1))</calculatedColumnFormula>
    </tableColumn>
    <tableColumn id="19" xr3:uid="{00000000-0010-0000-0300-000013000000}" name="Tie-Break %" dataDxfId="243">
      <calculatedColumnFormula>IF((COUNT(G5,J5,M5,P5)&gt;3),(SUM(G5,J5,M5,P5)-MAX(G5,J5,M5,P5)),SUM(G5,J5,M5,P5))</calculatedColumnFormula>
    </tableColumn>
    <tableColumn id="20" xr3:uid="{00000000-0010-0000-0300-000014000000}" name="Overall Points" dataDxfId="242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e2514" displayName="Table2514" ref="A4:S9" totalsRowShown="0" headerRowDxfId="229" dataDxfId="227" headerRowBorderDxfId="228" tableBorderDxfId="226" totalsRowBorderDxfId="225">
  <sortState ref="A5:S9">
    <sortCondition ref="S5:S9"/>
    <sortCondition ref="R5:R9"/>
  </sortState>
  <tableColumns count="19">
    <tableColumn id="1" xr3:uid="{00000000-0010-0000-0400-000001000000}" name="Rank" dataDxfId="224">
      <calculatedColumnFormula>RANK(S5,S$5:S$10,1)</calculatedColumnFormula>
    </tableColumn>
    <tableColumn id="2" xr3:uid="{00000000-0010-0000-0400-000002000000}" name="Surname" dataDxfId="223">
      <calculatedColumnFormula>'2019 OKC Results'!C3</calculatedColumnFormula>
    </tableColumn>
    <tableColumn id="3" xr3:uid="{00000000-0010-0000-0400-000003000000}" name="Given Name" dataDxfId="222">
      <calculatedColumnFormula>'2019 OKC Results'!D3</calculatedColumnFormula>
    </tableColumn>
    <tableColumn id="5" xr3:uid="{00000000-0010-0000-0400-000005000000}" name="Cat" dataDxfId="221">
      <calculatedColumnFormula>'2019 OKC Results'!E3</calculatedColumnFormula>
    </tableColumn>
    <tableColumn id="4" xr3:uid="{00000000-0010-0000-0400-000004000000}" name="Column1" dataDxfId="220">
      <calculatedColumnFormula>'2019 OKC Results'!F3</calculatedColumnFormula>
    </tableColumn>
    <tableColumn id="7" xr3:uid="{00000000-0010-0000-0400-000007000000}" name="Run #1 Score" dataDxfId="219">
      <calculatedColumnFormula>'2019 OKC Results'!G3</calculatedColumnFormula>
    </tableColumn>
    <tableColumn id="8" xr3:uid="{00000000-0010-0000-0400-000008000000}" name="Run #1 %" dataDxfId="218">
      <calculatedColumnFormula>(F5/F$10)*100</calculatedColumnFormula>
    </tableColumn>
    <tableColumn id="9" xr3:uid="{00000000-0010-0000-0400-000009000000}" name="Run #1 Points" dataDxfId="217">
      <calculatedColumnFormula>IF((RANK(F5,F$5:F$9,1)=1),0,RANK(F5,F$5:F$9,1))</calculatedColumnFormula>
    </tableColumn>
    <tableColumn id="10" xr3:uid="{00000000-0010-0000-0400-00000A000000}" name="Run #2 Score" dataDxfId="216">
      <calculatedColumnFormula>'2019 OKC Results'!H3</calculatedColumnFormula>
    </tableColumn>
    <tableColumn id="11" xr3:uid="{00000000-0010-0000-0400-00000B000000}" name="Run #2 %" dataDxfId="215">
      <calculatedColumnFormula>(I5/I$10)*100</calculatedColumnFormula>
    </tableColumn>
    <tableColumn id="12" xr3:uid="{00000000-0010-0000-0400-00000C000000}" name="Run #2 Points" dataDxfId="214">
      <calculatedColumnFormula>IF((RANK(I5,I$5:I$9,1)=1),0,RANK(I5,I$5:I$9,1))</calculatedColumnFormula>
    </tableColumn>
    <tableColumn id="13" xr3:uid="{00000000-0010-0000-0400-00000D000000}" name="Run #3 Score" dataDxfId="213">
      <calculatedColumnFormula>'2019 OKC Results'!I3</calculatedColumnFormula>
    </tableColumn>
    <tableColumn id="14" xr3:uid="{00000000-0010-0000-0400-00000E000000}" name="Run #3 %" dataDxfId="212">
      <calculatedColumnFormula>(L5/L$10)*100</calculatedColumnFormula>
    </tableColumn>
    <tableColumn id="15" xr3:uid="{00000000-0010-0000-0400-00000F000000}" name="Run #3 Points" dataDxfId="211">
      <calculatedColumnFormula>IF((RANK(L5,L$5:L$9,1)=1),0,RANK(L5,L$5:L$9,1))</calculatedColumnFormula>
    </tableColumn>
    <tableColumn id="16" xr3:uid="{00000000-0010-0000-0400-000010000000}" name="Run #4 Score" dataDxfId="210">
      <calculatedColumnFormula>'2019 OKC Results'!J3</calculatedColumnFormula>
    </tableColumn>
    <tableColumn id="17" xr3:uid="{00000000-0010-0000-0400-000011000000}" name="Run #4 %" dataDxfId="209">
      <calculatedColumnFormula>(O5/O$10)*100</calculatedColumnFormula>
    </tableColumn>
    <tableColumn id="18" xr3:uid="{00000000-0010-0000-0400-000012000000}" name="Run #4 Points" dataDxfId="208">
      <calculatedColumnFormula>IF((RANK(O5,O$5:O$9,1)=1),0,RANK(O5,O$5:O$9,1))</calculatedColumnFormula>
    </tableColumn>
    <tableColumn id="19" xr3:uid="{00000000-0010-0000-0400-000013000000}" name="Tie-Break %" dataDxfId="207">
      <calculatedColumnFormula>IF((COUNT(G5,J5,M5,P5)&gt;3),(SUM(G5,J5,M5,P5)-MAX(G5,J5,M5,P5)),SUM(G5,J5,M5,P5))</calculatedColumnFormula>
    </tableColumn>
    <tableColumn id="20" xr3:uid="{00000000-0010-0000-0400-000014000000}" name="Overall Points" dataDxfId="206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e251415" displayName="Table251415" ref="A4:S8" totalsRowShown="0" headerRowDxfId="204" dataDxfId="202" headerRowBorderDxfId="203" tableBorderDxfId="201" totalsRowBorderDxfId="200">
  <sortState ref="A5:S8">
    <sortCondition ref="S5:S8"/>
    <sortCondition ref="R5:R8"/>
  </sortState>
  <tableColumns count="19">
    <tableColumn id="1" xr3:uid="{00000000-0010-0000-0500-000001000000}" name="Rank" dataDxfId="199">
      <calculatedColumnFormula>RANK(S5,R$5:R$9,1)</calculatedColumnFormula>
    </tableColumn>
    <tableColumn id="2" xr3:uid="{00000000-0010-0000-0500-000002000000}" name="Surname" dataDxfId="198">
      <calculatedColumnFormula>'2019 OKC Results'!C3</calculatedColumnFormula>
    </tableColumn>
    <tableColumn id="3" xr3:uid="{00000000-0010-0000-0500-000003000000}" name="Given Name" dataDxfId="197">
      <calculatedColumnFormula>'2019 OKC Results'!D3</calculatedColumnFormula>
    </tableColumn>
    <tableColumn id="5" xr3:uid="{00000000-0010-0000-0500-000005000000}" name="Cat" dataDxfId="196">
      <calculatedColumnFormula>'2019 OKC Results'!E3</calculatedColumnFormula>
    </tableColumn>
    <tableColumn id="4" xr3:uid="{00000000-0010-0000-0500-000004000000}" name="Column1" dataDxfId="195">
      <calculatedColumnFormula>'2019 OKC Results'!F3</calculatedColumnFormula>
    </tableColumn>
    <tableColumn id="7" xr3:uid="{00000000-0010-0000-0500-000007000000}" name="Run #1 Score" dataDxfId="194">
      <calculatedColumnFormula>'2019 OKC Results'!G3</calculatedColumnFormula>
    </tableColumn>
    <tableColumn id="8" xr3:uid="{00000000-0010-0000-0500-000008000000}" name="Run #1 %" dataDxfId="193">
      <calculatedColumnFormula>(F5/F$9)*100</calculatedColumnFormula>
    </tableColumn>
    <tableColumn id="9" xr3:uid="{00000000-0010-0000-0500-000009000000}" name="Run #1 Points" dataDxfId="192">
      <calculatedColumnFormula>IF((RANK(F5,F$5:F$8,1)=1),0,RANK(F5,F$5:F$8,1))</calculatedColumnFormula>
    </tableColumn>
    <tableColumn id="10" xr3:uid="{00000000-0010-0000-0500-00000A000000}" name="Run #2 Score" dataDxfId="191">
      <calculatedColumnFormula>'2019 OKC Results'!H3</calculatedColumnFormula>
    </tableColumn>
    <tableColumn id="11" xr3:uid="{00000000-0010-0000-0500-00000B000000}" name="Run #2 %" dataDxfId="5">
      <calculatedColumnFormula>(I5/I$9)*100</calculatedColumnFormula>
    </tableColumn>
    <tableColumn id="12" xr3:uid="{00000000-0010-0000-0500-00000C000000}" name="Run #2 Points" dataDxfId="190">
      <calculatedColumnFormula>IF((RANK(I5,I$5:I$8,1)=1),0,RANK(I5,I$5:I$8,1))</calculatedColumnFormula>
    </tableColumn>
    <tableColumn id="13" xr3:uid="{00000000-0010-0000-0500-00000D000000}" name="Run #3 Score" dataDxfId="189">
      <calculatedColumnFormula>'2019 OKC Results'!I3</calculatedColumnFormula>
    </tableColumn>
    <tableColumn id="14" xr3:uid="{00000000-0010-0000-0500-00000E000000}" name="Run #3 %" dataDxfId="4" dataCellStyle="Percent">
      <calculatedColumnFormula>(L5/L$9)*100</calculatedColumnFormula>
    </tableColumn>
    <tableColumn id="15" xr3:uid="{00000000-0010-0000-0500-00000F000000}" name="Run #3 Points" dataDxfId="188">
      <calculatedColumnFormula>IF((RANK(L5,L$5:L$8,1)=1),0,RANK(L5,L$5:L$8,1))</calculatedColumnFormula>
    </tableColumn>
    <tableColumn id="16" xr3:uid="{00000000-0010-0000-0500-000010000000}" name="Run #4 Score" dataDxfId="187">
      <calculatedColumnFormula>'2019 OKC Results'!J3</calculatedColumnFormula>
    </tableColumn>
    <tableColumn id="17" xr3:uid="{00000000-0010-0000-0500-000011000000}" name="Run #4 %" dataDxfId="3" dataCellStyle="Percent">
      <calculatedColumnFormula>(O5/O$9)*100</calculatedColumnFormula>
    </tableColumn>
    <tableColumn id="18" xr3:uid="{00000000-0010-0000-0500-000012000000}" name="Run #4 Points" dataDxfId="186">
      <calculatedColumnFormula>IF((RANK(O5,O$5:O$8,1)=1),0,RANK(O5,O$5:O$8,1))</calculatedColumnFormula>
    </tableColumn>
    <tableColumn id="19" xr3:uid="{00000000-0010-0000-0500-000013000000}" name="Tie-Break %" dataDxfId="185" dataCellStyle="Percent">
      <calculatedColumnFormula>IF((COUNT(G5,J5,M5,P5)&gt;3),(SUM(G5,J5,M5,P5)-MAX(G5,J5,M5,P5)),SUM(G5,J5,M5,P5))</calculatedColumnFormula>
    </tableColumn>
    <tableColumn id="20" xr3:uid="{00000000-0010-0000-0500-000014000000}" name="Overall Points" dataDxfId="184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able26" displayName="Table26" ref="A4:S10" totalsRowShown="0" headerRowDxfId="1" dataDxfId="182" headerRowBorderDxfId="2" tableBorderDxfId="181" totalsRowBorderDxfId="180">
  <sortState ref="A5:S10">
    <sortCondition ref="S5:S10"/>
    <sortCondition ref="R5:R10"/>
  </sortState>
  <tableColumns count="19">
    <tableColumn id="1" xr3:uid="{00000000-0010-0000-0600-000001000000}" name="Rank" dataDxfId="179">
      <calculatedColumnFormula>RANK(S5,S$5:S$10,1)</calculatedColumnFormula>
    </tableColumn>
    <tableColumn id="2" xr3:uid="{00000000-0010-0000-0600-000002000000}" name="Surname" dataDxfId="178">
      <calculatedColumnFormula>'2019 OKC Results'!C10</calculatedColumnFormula>
    </tableColumn>
    <tableColumn id="3" xr3:uid="{00000000-0010-0000-0600-000003000000}" name="Given Name" dataDxfId="177">
      <calculatedColumnFormula>'2019 OKC Results'!D10</calculatedColumnFormula>
    </tableColumn>
    <tableColumn id="5" xr3:uid="{00000000-0010-0000-0600-000005000000}" name="Cat" dataDxfId="176">
      <calculatedColumnFormula>'2019 OKC Results'!E10</calculatedColumnFormula>
    </tableColumn>
    <tableColumn id="4" xr3:uid="{00000000-0010-0000-0600-000004000000}" name="Column1" dataDxfId="175">
      <calculatedColumnFormula>'2019 OKC Results'!F10</calculatedColumnFormula>
    </tableColumn>
    <tableColumn id="7" xr3:uid="{00000000-0010-0000-0600-000007000000}" name="Run #1 Score" dataDxfId="174">
      <calculatedColumnFormula>'2019 OKC Results'!G10</calculatedColumnFormula>
    </tableColumn>
    <tableColumn id="8" xr3:uid="{00000000-0010-0000-0600-000008000000}" name="Run #1 %" dataDxfId="173">
      <calculatedColumnFormula>(F5/F$11)*100</calculatedColumnFormula>
    </tableColumn>
    <tableColumn id="9" xr3:uid="{00000000-0010-0000-0600-000009000000}" name="Run #1 Points" dataDxfId="172">
      <calculatedColumnFormula>IF((RANK(F5,F$5:F$10,1)=1),0,RANK(F5,F$5:F$10,1))</calculatedColumnFormula>
    </tableColumn>
    <tableColumn id="10" xr3:uid="{00000000-0010-0000-0600-00000A000000}" name="Run #2 Score" dataDxfId="171">
      <calculatedColumnFormula>'2019 OKC Results'!H10</calculatedColumnFormula>
    </tableColumn>
    <tableColumn id="11" xr3:uid="{00000000-0010-0000-0600-00000B000000}" name="Run #2 %" dataDxfId="170">
      <calculatedColumnFormula>(I5/I$11)*100</calculatedColumnFormula>
    </tableColumn>
    <tableColumn id="12" xr3:uid="{00000000-0010-0000-0600-00000C000000}" name="Run #2 Points" dataDxfId="169">
      <calculatedColumnFormula>IF((RANK(I5,I$5:I$10,1)=1),0,RANK(I5,I$5:I$10,1))</calculatedColumnFormula>
    </tableColumn>
    <tableColumn id="13" xr3:uid="{00000000-0010-0000-0600-00000D000000}" name="Run #3 Score" dataDxfId="168">
      <calculatedColumnFormula>'2019 OKC Results'!I10</calculatedColumnFormula>
    </tableColumn>
    <tableColumn id="14" xr3:uid="{00000000-0010-0000-0600-00000E000000}" name="Run #3 %" dataDxfId="167">
      <calculatedColumnFormula>(L5/L$11)*100</calculatedColumnFormula>
    </tableColumn>
    <tableColumn id="15" xr3:uid="{00000000-0010-0000-0600-00000F000000}" name="Run #3 Points" dataDxfId="166">
      <calculatedColumnFormula>IF((RANK(L5,L$5:L$10,1)=1),0,RANK(L5,L$5:L$10,1))</calculatedColumnFormula>
    </tableColumn>
    <tableColumn id="16" xr3:uid="{00000000-0010-0000-0600-000010000000}" name="Run #4 Score" dataDxfId="165">
      <calculatedColumnFormula>'2019 OKC Results'!J10</calculatedColumnFormula>
    </tableColumn>
    <tableColumn id="17" xr3:uid="{00000000-0010-0000-0600-000011000000}" name="Run #4 %" dataDxfId="164">
      <calculatedColumnFormula>(O5/O$11)*100</calculatedColumnFormula>
    </tableColumn>
    <tableColumn id="18" xr3:uid="{00000000-0010-0000-0600-000012000000}" name="Run #4 Points" dataDxfId="163">
      <calculatedColumnFormula>IF((RANK(O5,O$5:O$10,1)=1),0,RANK(O5,O$5:O$10,1))</calculatedColumnFormula>
    </tableColumn>
    <tableColumn id="19" xr3:uid="{00000000-0010-0000-0600-000013000000}" name="Tie-Break %" dataDxfId="162">
      <calculatedColumnFormula>IF((COUNT(G5,J5,M5,P5)&gt;3),(SUM(G5,J5,M5,P5)-MAX(G5,J5,M5,P5)),SUM(G5,J5,M5,P5))</calculatedColumnFormula>
    </tableColumn>
    <tableColumn id="20" xr3:uid="{00000000-0010-0000-0600-000014000000}" name="Overall Points" dataDxfId="161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7000000}" name="Table2616" displayName="Table2616" ref="A4:T7" totalsRowShown="0" headerRowDxfId="158" dataDxfId="156" headerRowBorderDxfId="157" tableBorderDxfId="155" totalsRowBorderDxfId="154">
  <autoFilter ref="A4:T7" xr:uid="{00000000-0009-0000-0100-00000F000000}"/>
  <sortState ref="A5:S7">
    <sortCondition ref="S5:S7"/>
    <sortCondition ref="R5:R7"/>
  </sortState>
  <tableColumns count="20">
    <tableColumn id="1" xr3:uid="{00000000-0010-0000-0700-000001000000}" name="Rank" dataDxfId="153">
      <calculatedColumnFormula>RANK(S5,S$5:S$7,1)</calculatedColumnFormula>
    </tableColumn>
    <tableColumn id="2" xr3:uid="{00000000-0010-0000-0700-000002000000}" name="Surname" dataDxfId="152">
      <calculatedColumnFormula>'2019 OKC Results'!C10</calculatedColumnFormula>
    </tableColumn>
    <tableColumn id="3" xr3:uid="{00000000-0010-0000-0700-000003000000}" name="Given Name" dataDxfId="151">
      <calculatedColumnFormula>'2019 OKC Results'!D10</calculatedColumnFormula>
    </tableColumn>
    <tableColumn id="5" xr3:uid="{00000000-0010-0000-0700-000005000000}" name="Cat" dataDxfId="150">
      <calculatedColumnFormula>'2019 OKC Results'!F10</calculatedColumnFormula>
    </tableColumn>
    <tableColumn id="4" xr3:uid="{00000000-0010-0000-0700-000004000000}" name="Column1" dataDxfId="149">
      <calculatedColumnFormula>'2019 OKC Results'!F10</calculatedColumnFormula>
    </tableColumn>
    <tableColumn id="7" xr3:uid="{00000000-0010-0000-0700-000007000000}" name="Run #1 Score" dataDxfId="148">
      <calculatedColumnFormula>'2019 OKC Results'!G10</calculatedColumnFormula>
    </tableColumn>
    <tableColumn id="8" xr3:uid="{00000000-0010-0000-0700-000008000000}" name="Run #1 %" dataDxfId="147">
      <calculatedColumnFormula>(F5/F$10)*100</calculatedColumnFormula>
    </tableColumn>
    <tableColumn id="9" xr3:uid="{00000000-0010-0000-0700-000009000000}" name="Run #1 Points" dataDxfId="146">
      <calculatedColumnFormula>IF((RANK(F5,F$5:F$7,1)=1),0,RANK(F5,F$5:F$10,1))</calculatedColumnFormula>
    </tableColumn>
    <tableColumn id="10" xr3:uid="{00000000-0010-0000-0700-00000A000000}" name="Run #2 Score" dataDxfId="145">
      <calculatedColumnFormula>'2019 OKC Results'!H10</calculatedColumnFormula>
    </tableColumn>
    <tableColumn id="11" xr3:uid="{00000000-0010-0000-0700-00000B000000}" name="Run #2 %" dataDxfId="144">
      <calculatedColumnFormula>'2019 OKC Results'!I10</calculatedColumnFormula>
    </tableColumn>
    <tableColumn id="12" xr3:uid="{00000000-0010-0000-0700-00000C000000}" name="Run #2 Points" dataDxfId="143">
      <calculatedColumnFormula>IF((RANK(I5,I$5:I$7,1)=1),0,RANK(I5,I$5:I$10,1))</calculatedColumnFormula>
    </tableColumn>
    <tableColumn id="13" xr3:uid="{00000000-0010-0000-0700-00000D000000}" name="Run #3 Score" dataDxfId="142">
      <calculatedColumnFormula>'2019 OKC Results'!I10</calculatedColumnFormula>
    </tableColumn>
    <tableColumn id="14" xr3:uid="{00000000-0010-0000-0700-00000E000000}" name="Run #3 %" dataDxfId="141">
      <calculatedColumnFormula>'2019 OKC Results'!J10</calculatedColumnFormula>
    </tableColumn>
    <tableColumn id="15" xr3:uid="{00000000-0010-0000-0700-00000F000000}" name="Run #3 Points" dataDxfId="140">
      <calculatedColumnFormula>IF((RANK(L5,L$5:L$7,1)=1),0,RANK(L5,L$5:L$10,1))</calculatedColumnFormula>
    </tableColumn>
    <tableColumn id="16" xr3:uid="{00000000-0010-0000-0700-000010000000}" name="Run #4 Score" dataDxfId="139">
      <calculatedColumnFormula>'2019 OKC Results'!J10</calculatedColumnFormula>
    </tableColumn>
    <tableColumn id="17" xr3:uid="{00000000-0010-0000-0700-000011000000}" name="Run #4 %" dataDxfId="138">
      <calculatedColumnFormula>'2019 OKC Results'!K10</calculatedColumnFormula>
    </tableColumn>
    <tableColumn id="18" xr3:uid="{00000000-0010-0000-0700-000012000000}" name="Run #4 Points" dataDxfId="137">
      <calculatedColumnFormula>(P5/P$10)*100</calculatedColumnFormula>
    </tableColumn>
    <tableColumn id="19" xr3:uid="{00000000-0010-0000-0700-000013000000}" name="Tie-Break %" dataDxfId="136">
      <calculatedColumnFormula>IF((RANK(P5,P$5:P$9,1)=1),0,RANK(P5,P$5:P$9,1))</calculatedColumnFormula>
    </tableColumn>
    <tableColumn id="20" xr3:uid="{00000000-0010-0000-0700-000014000000}" name="Overall Points" dataDxfId="135">
      <calculatedColumnFormula>IF((COUNT(H5,K5,N5,Q5)&gt;3),(SUM(H5,K5,N5,Q5)-MAX(H5,K5,N5,Q5)),SUM(H5,K5,N5,Q5))</calculatedColumnFormula>
    </tableColumn>
    <tableColumn id="6" xr3:uid="{E17E0D7D-B5B4-4597-A180-2D5D6AE29602}" name="Column2" dataDxfId="134">
      <calculatedColumnFormula>IF((COUNT(I5,L5,O5,R5)&gt;3),(SUM(I5,L5,O5,R5)-MAX(I5,L5,O5,R5)),SUM(I5,L5,O5,R5))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8000000}" name="Table261617" displayName="Table261617" ref="A4:S7" totalsRowShown="0" headerRowDxfId="0" dataDxfId="127" headerRowBorderDxfId="128" tableBorderDxfId="126" totalsRowBorderDxfId="125">
  <sortState ref="A5:S7">
    <sortCondition ref="S5:S7"/>
    <sortCondition ref="R5:R7"/>
  </sortState>
  <tableColumns count="19">
    <tableColumn id="1" xr3:uid="{00000000-0010-0000-0800-000001000000}" name="Rank" dataDxfId="124"/>
    <tableColumn id="2" xr3:uid="{00000000-0010-0000-0800-000002000000}" name="Surname" dataDxfId="123">
      <calculatedColumnFormula>'2019 OKC Results'!C10</calculatedColumnFormula>
    </tableColumn>
    <tableColumn id="3" xr3:uid="{00000000-0010-0000-0800-000003000000}" name="Given Name" dataDxfId="122">
      <calculatedColumnFormula>'2019 OKC Results'!D10</calculatedColumnFormula>
    </tableColumn>
    <tableColumn id="5" xr3:uid="{00000000-0010-0000-0800-000005000000}" name="Cat" dataDxfId="121">
      <calculatedColumnFormula>'2019 OKC Results'!E10</calculatedColumnFormula>
    </tableColumn>
    <tableColumn id="4" xr3:uid="{00000000-0010-0000-0800-000004000000}" name="Column1" dataDxfId="120">
      <calculatedColumnFormula>'2019 OKC Results'!F10</calculatedColumnFormula>
    </tableColumn>
    <tableColumn id="7" xr3:uid="{00000000-0010-0000-0800-000007000000}" name="Run #1 Score" dataDxfId="119">
      <calculatedColumnFormula>'2019 OKC Results'!G10</calculatedColumnFormula>
    </tableColumn>
    <tableColumn id="8" xr3:uid="{00000000-0010-0000-0800-000008000000}" name="Run #1 %" dataDxfId="118">
      <calculatedColumnFormula>(F5/F$8)*100</calculatedColumnFormula>
    </tableColumn>
    <tableColumn id="9" xr3:uid="{00000000-0010-0000-0800-000009000000}" name="Run #1 Points" dataDxfId="117">
      <calculatedColumnFormula>IF((RANK(F5,F$5:F$7,1)=1),0,RANK(F5,F$5:F$7,1))</calculatedColumnFormula>
    </tableColumn>
    <tableColumn id="10" xr3:uid="{00000000-0010-0000-0800-00000A000000}" name="Run #2 Score" dataDxfId="116">
      <calculatedColumnFormula>'2019 OKC Results'!H10</calculatedColumnFormula>
    </tableColumn>
    <tableColumn id="11" xr3:uid="{00000000-0010-0000-0800-00000B000000}" name="Run #2 %" dataDxfId="115">
      <calculatedColumnFormula>(I5/I$8)*100</calculatedColumnFormula>
    </tableColumn>
    <tableColumn id="12" xr3:uid="{00000000-0010-0000-0800-00000C000000}" name="Run #2 Points" dataDxfId="114">
      <calculatedColumnFormula>IF((RANK(I5,I$5:I$7,1)=1),0,RANK(I5,I$5:I$7,1))</calculatedColumnFormula>
    </tableColumn>
    <tableColumn id="13" xr3:uid="{00000000-0010-0000-0800-00000D000000}" name="Run #3 Score" dataDxfId="113">
      <calculatedColumnFormula>'2019 OKC Results'!I10</calculatedColumnFormula>
    </tableColumn>
    <tableColumn id="14" xr3:uid="{00000000-0010-0000-0800-00000E000000}" name="Run #3 %" dataDxfId="112">
      <calculatedColumnFormula>(L5/L$8)*100</calculatedColumnFormula>
    </tableColumn>
    <tableColumn id="15" xr3:uid="{00000000-0010-0000-0800-00000F000000}" name="Run #3 Points" dataDxfId="111">
      <calculatedColumnFormula>IF((RANK(L5,L$5:L$7,1)=1),0,RANK(L5,L$5:L$7,1))</calculatedColumnFormula>
    </tableColumn>
    <tableColumn id="16" xr3:uid="{00000000-0010-0000-0800-000010000000}" name="Run #4 Score" dataDxfId="110">
      <calculatedColumnFormula>'2019 OKC Results'!J10</calculatedColumnFormula>
    </tableColumn>
    <tableColumn id="17" xr3:uid="{00000000-0010-0000-0800-000011000000}" name="Run #4 %" dataDxfId="109">
      <calculatedColumnFormula>(O5/O$8)*100</calculatedColumnFormula>
    </tableColumn>
    <tableColumn id="18" xr3:uid="{00000000-0010-0000-0800-000012000000}" name="Run #4 Points" dataDxfId="108">
      <calculatedColumnFormula>IF((RANK(O5,O$5:O$7,1)=1),0,RANK(O5,O$5:O$7,1))</calculatedColumnFormula>
    </tableColumn>
    <tableColumn id="19" xr3:uid="{00000000-0010-0000-0800-000013000000}" name="Tie-Break %" dataDxfId="107">
      <calculatedColumnFormula>IF((COUNT(G5,J5,M5,P5)&gt;3),(SUM(G5,J5,M5,P5)-MAX(G5,J5,M5,P5)),SUM(G5,J5,M5,P5))</calculatedColumnFormula>
    </tableColumn>
    <tableColumn id="20" xr3:uid="{00000000-0010-0000-0800-000014000000}" name="Overall Points" dataDxfId="106">
      <calculatedColumnFormula>IF((COUNT(H5,K5,N5,Q5)&gt;3),(SUM(H5,K5,N5,Q5)-MAX(H5,K5,N5,Q5)),SUM(H5,K5,N5,Q5))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zoomScaleNormal="100" workbookViewId="0">
      <selection activeCell="A19" sqref="A19:XFD19"/>
    </sheetView>
  </sheetViews>
  <sheetFormatPr defaultColWidth="17.140625" defaultRowHeight="12.75" customHeight="1"/>
  <cols>
    <col min="1" max="1" width="9.85546875" style="2" customWidth="1"/>
    <col min="2" max="2" width="11" style="5" customWidth="1"/>
    <col min="3" max="3" width="19.85546875" style="2" customWidth="1"/>
    <col min="4" max="4" width="20.5703125" style="2" customWidth="1"/>
    <col min="5" max="5" width="9.140625" style="2" customWidth="1"/>
    <col min="6" max="6" width="14.140625" style="5" customWidth="1"/>
    <col min="7" max="10" width="10.7109375" style="2" customWidth="1"/>
    <col min="11" max="16384" width="17.140625" style="2"/>
  </cols>
  <sheetData>
    <row r="1" spans="1:10" ht="38.25" customHeight="1">
      <c r="B1" s="4" t="s">
        <v>12</v>
      </c>
      <c r="C1" s="3" t="s">
        <v>2</v>
      </c>
      <c r="D1" s="3" t="s">
        <v>5</v>
      </c>
      <c r="E1" s="3" t="s">
        <v>137</v>
      </c>
      <c r="F1" s="4" t="s">
        <v>29</v>
      </c>
      <c r="G1" s="66" t="s">
        <v>30</v>
      </c>
      <c r="H1" s="66" t="s">
        <v>31</v>
      </c>
      <c r="I1" s="66" t="s">
        <v>32</v>
      </c>
      <c r="J1" s="66" t="s">
        <v>33</v>
      </c>
    </row>
    <row r="2" spans="1:10" ht="15.75" customHeight="1">
      <c r="A2" s="6" t="s">
        <v>0</v>
      </c>
      <c r="B2" s="7"/>
      <c r="C2" s="12"/>
      <c r="D2" s="12"/>
      <c r="E2" s="12"/>
      <c r="F2" s="13"/>
      <c r="G2" s="12"/>
      <c r="H2" s="12"/>
      <c r="I2" s="12"/>
      <c r="J2" s="12"/>
    </row>
    <row r="3" spans="1:10" ht="15.75" customHeight="1">
      <c r="B3" s="1" t="s">
        <v>14</v>
      </c>
      <c r="C3" s="10" t="s">
        <v>78</v>
      </c>
      <c r="D3" s="10" t="s">
        <v>79</v>
      </c>
      <c r="E3" s="8" t="s">
        <v>0</v>
      </c>
      <c r="F3" s="11" t="s">
        <v>37</v>
      </c>
      <c r="G3" s="14">
        <v>195.42</v>
      </c>
      <c r="H3" s="14">
        <v>172.22</v>
      </c>
      <c r="I3" s="14">
        <v>427.13</v>
      </c>
      <c r="J3" s="14">
        <v>213.86</v>
      </c>
    </row>
    <row r="4" spans="1:10" ht="15.75" customHeight="1">
      <c r="B4" s="1" t="s">
        <v>15</v>
      </c>
      <c r="C4" s="10" t="s">
        <v>40</v>
      </c>
      <c r="D4" s="10" t="s">
        <v>41</v>
      </c>
      <c r="E4" s="8" t="s">
        <v>0</v>
      </c>
      <c r="F4" s="11" t="s">
        <v>37</v>
      </c>
      <c r="G4" s="14">
        <v>141.21</v>
      </c>
      <c r="H4" s="14">
        <v>139.96</v>
      </c>
      <c r="I4" s="14">
        <v>217.1</v>
      </c>
      <c r="J4" s="14">
        <v>196.35</v>
      </c>
    </row>
    <row r="5" spans="1:10" ht="15.75" customHeight="1">
      <c r="B5" s="1" t="s">
        <v>13</v>
      </c>
      <c r="C5" s="10" t="s">
        <v>80</v>
      </c>
      <c r="D5" s="10" t="s">
        <v>41</v>
      </c>
      <c r="E5" s="8" t="s">
        <v>0</v>
      </c>
      <c r="F5" s="11" t="s">
        <v>37</v>
      </c>
      <c r="G5" s="14">
        <v>207.75</v>
      </c>
      <c r="H5" s="14">
        <v>158.26</v>
      </c>
      <c r="I5" s="14">
        <v>383.58</v>
      </c>
      <c r="J5" s="14">
        <v>232.87</v>
      </c>
    </row>
    <row r="6" spans="1:10" ht="15.75" customHeight="1">
      <c r="B6" s="5" t="s">
        <v>14</v>
      </c>
      <c r="C6" s="10" t="s">
        <v>90</v>
      </c>
      <c r="D6" s="10" t="s">
        <v>91</v>
      </c>
      <c r="E6" s="8" t="s">
        <v>0</v>
      </c>
      <c r="F6" s="11" t="s">
        <v>37</v>
      </c>
      <c r="G6" s="14">
        <v>350.52</v>
      </c>
      <c r="H6" s="14">
        <v>166.04</v>
      </c>
      <c r="I6" s="14">
        <v>177.07</v>
      </c>
      <c r="J6" s="14">
        <v>205.96</v>
      </c>
    </row>
    <row r="7" spans="1:10" ht="15.75" customHeight="1">
      <c r="B7" s="1" t="s">
        <v>14</v>
      </c>
      <c r="C7" s="10" t="s">
        <v>44</v>
      </c>
      <c r="D7" s="10" t="s">
        <v>42</v>
      </c>
      <c r="E7" s="8" t="s">
        <v>0</v>
      </c>
      <c r="F7" s="11" t="s">
        <v>45</v>
      </c>
      <c r="G7" s="14">
        <v>133.91</v>
      </c>
      <c r="H7" s="14">
        <v>119.82</v>
      </c>
      <c r="I7" s="14">
        <v>119.59</v>
      </c>
      <c r="J7" s="14">
        <v>135.02000000000001</v>
      </c>
    </row>
    <row r="8" spans="1:10" ht="15.75" customHeight="1">
      <c r="B8" s="1" t="s">
        <v>16</v>
      </c>
      <c r="C8" s="10" t="s">
        <v>34</v>
      </c>
      <c r="D8" s="8" t="s">
        <v>43</v>
      </c>
      <c r="E8" s="8" t="s">
        <v>0</v>
      </c>
      <c r="F8" s="11" t="s">
        <v>60</v>
      </c>
      <c r="G8" s="14">
        <v>120.17</v>
      </c>
      <c r="H8" s="14">
        <v>121.67</v>
      </c>
      <c r="I8" s="14">
        <v>120.48</v>
      </c>
      <c r="J8" s="14">
        <v>118.67</v>
      </c>
    </row>
    <row r="9" spans="1:10" ht="15.75" customHeight="1">
      <c r="A9" s="6" t="s">
        <v>9</v>
      </c>
      <c r="B9" s="7"/>
      <c r="C9" s="6"/>
      <c r="D9" s="6"/>
      <c r="E9" s="6"/>
      <c r="F9" s="7"/>
      <c r="G9" s="6"/>
      <c r="H9" s="6"/>
      <c r="I9" s="6"/>
      <c r="J9" s="6"/>
    </row>
    <row r="10" spans="1:10" ht="15.4" customHeight="1">
      <c r="B10" s="1" t="s">
        <v>13</v>
      </c>
      <c r="C10" s="10" t="s">
        <v>57</v>
      </c>
      <c r="D10" s="10" t="s">
        <v>46</v>
      </c>
      <c r="E10" s="10" t="s">
        <v>9</v>
      </c>
      <c r="F10" s="11" t="s">
        <v>37</v>
      </c>
      <c r="G10" s="20">
        <v>161.91999999999999</v>
      </c>
      <c r="H10" s="14">
        <v>138.29</v>
      </c>
      <c r="I10" s="14">
        <v>259.14999999999998</v>
      </c>
      <c r="J10" s="14">
        <v>133.19</v>
      </c>
    </row>
    <row r="11" spans="1:10" ht="15.75" customHeight="1">
      <c r="B11" s="1" t="s">
        <v>13</v>
      </c>
      <c r="C11" s="10" t="s">
        <v>93</v>
      </c>
      <c r="D11" s="10" t="s">
        <v>121</v>
      </c>
      <c r="E11" s="10" t="s">
        <v>9</v>
      </c>
      <c r="F11" s="11" t="s">
        <v>37</v>
      </c>
      <c r="G11" s="20">
        <v>133.63999999999999</v>
      </c>
      <c r="H11" s="14">
        <v>131.22</v>
      </c>
      <c r="I11" s="14">
        <v>156.80000000000001</v>
      </c>
      <c r="J11" s="14">
        <v>146.55000000000001</v>
      </c>
    </row>
    <row r="12" spans="1:10" ht="15.75" customHeight="1">
      <c r="B12" s="1" t="s">
        <v>14</v>
      </c>
      <c r="C12" s="10" t="s">
        <v>92</v>
      </c>
      <c r="D12" s="10" t="s">
        <v>91</v>
      </c>
      <c r="E12" s="10" t="s">
        <v>9</v>
      </c>
      <c r="F12" s="11" t="s">
        <v>37</v>
      </c>
      <c r="G12" s="20">
        <v>133.88</v>
      </c>
      <c r="H12" s="14">
        <v>131.80000000000001</v>
      </c>
      <c r="I12" s="14">
        <v>433.28</v>
      </c>
      <c r="J12" s="14">
        <v>138.59</v>
      </c>
    </row>
    <row r="13" spans="1:10" ht="15.75" customHeight="1">
      <c r="B13" s="1" t="s">
        <v>16</v>
      </c>
      <c r="C13" s="10" t="s">
        <v>38</v>
      </c>
      <c r="D13" s="10" t="s">
        <v>48</v>
      </c>
      <c r="E13" s="10" t="s">
        <v>9</v>
      </c>
      <c r="F13" s="11" t="s">
        <v>60</v>
      </c>
      <c r="G13" s="20">
        <v>116.73</v>
      </c>
      <c r="H13" s="14">
        <v>112.91</v>
      </c>
      <c r="I13" s="14">
        <v>107.76</v>
      </c>
      <c r="J13" s="14">
        <v>116.95</v>
      </c>
    </row>
    <row r="14" spans="1:10" ht="15">
      <c r="B14" s="1" t="s">
        <v>14</v>
      </c>
      <c r="C14" s="10" t="s">
        <v>61</v>
      </c>
      <c r="D14" s="10" t="s">
        <v>62</v>
      </c>
      <c r="E14" s="10" t="s">
        <v>9</v>
      </c>
      <c r="F14" s="11" t="s">
        <v>60</v>
      </c>
      <c r="G14" s="20">
        <v>103.78</v>
      </c>
      <c r="H14" s="14">
        <v>100.86</v>
      </c>
      <c r="I14" s="14">
        <v>108.3</v>
      </c>
      <c r="J14" s="14">
        <v>107.1</v>
      </c>
    </row>
    <row r="15" spans="1:10" ht="15">
      <c r="B15" s="1" t="s">
        <v>14</v>
      </c>
      <c r="C15" s="10" t="s">
        <v>63</v>
      </c>
      <c r="D15" s="10" t="s">
        <v>49</v>
      </c>
      <c r="E15" s="10" t="s">
        <v>9</v>
      </c>
      <c r="F15" s="11" t="s">
        <v>60</v>
      </c>
      <c r="G15" s="14">
        <v>97.96</v>
      </c>
      <c r="H15" s="14">
        <v>97.43</v>
      </c>
      <c r="I15" s="14">
        <v>101.07</v>
      </c>
      <c r="J15" s="14">
        <v>101.22</v>
      </c>
    </row>
    <row r="16" spans="1:10" ht="15.75" customHeight="1"/>
    <row r="17" spans="1:10" ht="15.75" customHeight="1"/>
    <row r="18" spans="1:10" ht="15.75" customHeight="1">
      <c r="A18" s="6" t="s">
        <v>1</v>
      </c>
      <c r="B18" s="7"/>
      <c r="C18" s="12"/>
      <c r="D18" s="12"/>
      <c r="E18" s="12"/>
      <c r="F18" s="13"/>
      <c r="G18" s="17"/>
      <c r="H18" s="12"/>
      <c r="I18" s="12"/>
      <c r="J18" s="12"/>
    </row>
    <row r="19" spans="1:10" ht="15.75" customHeight="1">
      <c r="A19" s="6"/>
      <c r="B19" s="7"/>
      <c r="C19" s="12"/>
      <c r="D19" s="12"/>
      <c r="E19" s="12"/>
      <c r="F19" s="94"/>
      <c r="G19" s="17"/>
      <c r="H19" s="95"/>
      <c r="I19" s="12"/>
      <c r="J19" s="12"/>
    </row>
    <row r="20" spans="1:10" ht="15.75" customHeight="1">
      <c r="B20" s="1" t="s">
        <v>14</v>
      </c>
      <c r="C20" s="10" t="s">
        <v>53</v>
      </c>
      <c r="D20" s="10" t="s">
        <v>67</v>
      </c>
      <c r="E20" s="10" t="s">
        <v>1</v>
      </c>
      <c r="F20" s="15" t="s">
        <v>37</v>
      </c>
      <c r="G20" s="19">
        <v>110.66</v>
      </c>
      <c r="H20" s="16">
        <v>100.9</v>
      </c>
      <c r="I20" s="14">
        <v>121.63</v>
      </c>
      <c r="J20" s="14">
        <v>114.21</v>
      </c>
    </row>
    <row r="21" spans="1:10" ht="15.75" customHeight="1">
      <c r="B21" s="1" t="s">
        <v>13</v>
      </c>
      <c r="C21" s="8" t="s">
        <v>57</v>
      </c>
      <c r="D21" s="8" t="s">
        <v>46</v>
      </c>
      <c r="E21" s="10" t="s">
        <v>1</v>
      </c>
      <c r="F21" s="15" t="s">
        <v>37</v>
      </c>
      <c r="G21" s="19">
        <v>128.74</v>
      </c>
      <c r="H21" s="16">
        <v>133.30000000000001</v>
      </c>
      <c r="I21" s="14">
        <v>999</v>
      </c>
      <c r="J21" s="14">
        <v>137.82</v>
      </c>
    </row>
    <row r="22" spans="1:10" ht="15.75" customHeight="1">
      <c r="B22" s="1" t="s">
        <v>14</v>
      </c>
      <c r="C22" s="10" t="s">
        <v>65</v>
      </c>
      <c r="D22" s="10" t="s">
        <v>66</v>
      </c>
      <c r="E22" s="10" t="s">
        <v>1</v>
      </c>
      <c r="F22" s="15" t="s">
        <v>37</v>
      </c>
      <c r="G22" s="19">
        <v>120.72</v>
      </c>
      <c r="H22" s="16">
        <v>116.72</v>
      </c>
      <c r="I22" s="14">
        <v>166.86</v>
      </c>
      <c r="J22" s="14">
        <v>116.59</v>
      </c>
    </row>
    <row r="23" spans="1:10" ht="15.75" customHeight="1">
      <c r="B23" s="1" t="s">
        <v>15</v>
      </c>
      <c r="C23" s="10" t="s">
        <v>94</v>
      </c>
      <c r="D23" s="10" t="s">
        <v>95</v>
      </c>
      <c r="E23" s="10" t="s">
        <v>1</v>
      </c>
      <c r="F23" s="15" t="s">
        <v>37</v>
      </c>
      <c r="G23" s="19">
        <v>155.06</v>
      </c>
      <c r="H23" s="16">
        <v>156.4</v>
      </c>
      <c r="I23" s="14">
        <v>276.3</v>
      </c>
      <c r="J23" s="14">
        <v>252.36</v>
      </c>
    </row>
    <row r="24" spans="1:10" ht="15.75" customHeight="1">
      <c r="B24" s="1" t="s">
        <v>15</v>
      </c>
      <c r="C24" s="10" t="s">
        <v>96</v>
      </c>
      <c r="D24" s="10" t="s">
        <v>95</v>
      </c>
      <c r="E24" s="10" t="s">
        <v>1</v>
      </c>
      <c r="F24" s="15" t="s">
        <v>37</v>
      </c>
      <c r="G24" s="19">
        <v>243.75</v>
      </c>
      <c r="H24" s="16">
        <v>214.66</v>
      </c>
      <c r="I24" s="14">
        <v>493.95</v>
      </c>
      <c r="J24" s="14">
        <v>447.33</v>
      </c>
    </row>
    <row r="25" spans="1:10" ht="15.75" customHeight="1">
      <c r="B25" s="1" t="s">
        <v>14</v>
      </c>
      <c r="C25" s="10" t="s">
        <v>81</v>
      </c>
      <c r="D25" s="10" t="s">
        <v>82</v>
      </c>
      <c r="E25" s="10" t="s">
        <v>1</v>
      </c>
      <c r="F25" s="15" t="s">
        <v>37</v>
      </c>
      <c r="G25" s="19">
        <v>131.44999999999999</v>
      </c>
      <c r="H25" s="16">
        <v>127.96</v>
      </c>
      <c r="I25" s="14">
        <v>141.22999999999999</v>
      </c>
      <c r="J25" s="14">
        <v>141.19</v>
      </c>
    </row>
    <row r="26" spans="1:10" ht="15.75" customHeight="1">
      <c r="B26" s="1" t="s">
        <v>14</v>
      </c>
      <c r="C26" s="10" t="s">
        <v>92</v>
      </c>
      <c r="D26" s="10" t="s">
        <v>91</v>
      </c>
      <c r="E26" s="10" t="s">
        <v>1</v>
      </c>
      <c r="F26" s="15" t="s">
        <v>37</v>
      </c>
      <c r="G26" s="19">
        <v>117.49</v>
      </c>
      <c r="H26" s="16">
        <v>111.82</v>
      </c>
      <c r="I26" s="14">
        <v>151.16999999999999</v>
      </c>
      <c r="J26" s="14">
        <v>123.18</v>
      </c>
    </row>
    <row r="27" spans="1:10" ht="15.75" customHeight="1">
      <c r="B27" s="1" t="s">
        <v>14</v>
      </c>
      <c r="C27" s="10" t="s">
        <v>39</v>
      </c>
      <c r="D27" s="10" t="s">
        <v>52</v>
      </c>
      <c r="E27" s="10" t="s">
        <v>1</v>
      </c>
      <c r="F27" s="15" t="s">
        <v>45</v>
      </c>
      <c r="G27" s="19">
        <v>214.95</v>
      </c>
      <c r="H27" s="16">
        <v>95.02</v>
      </c>
      <c r="I27" s="14">
        <v>101.5</v>
      </c>
      <c r="J27" s="14">
        <v>115.74</v>
      </c>
    </row>
    <row r="28" spans="1:10" ht="15.75" customHeight="1">
      <c r="B28" s="1" t="s">
        <v>15</v>
      </c>
      <c r="C28" s="10" t="s">
        <v>55</v>
      </c>
      <c r="D28" s="10" t="s">
        <v>51</v>
      </c>
      <c r="E28" s="10" t="s">
        <v>1</v>
      </c>
      <c r="F28" s="15" t="s">
        <v>45</v>
      </c>
      <c r="G28" s="19">
        <v>105.66</v>
      </c>
      <c r="H28" s="16">
        <v>102.85</v>
      </c>
      <c r="I28" s="14">
        <v>113.59</v>
      </c>
      <c r="J28" s="14">
        <v>110.45</v>
      </c>
    </row>
    <row r="29" spans="1:10" ht="15.75" customHeight="1">
      <c r="B29" s="1" t="s">
        <v>13</v>
      </c>
      <c r="C29" s="10" t="s">
        <v>54</v>
      </c>
      <c r="D29" s="10" t="s">
        <v>50</v>
      </c>
      <c r="E29" s="10" t="s">
        <v>1</v>
      </c>
      <c r="F29" s="15" t="s">
        <v>45</v>
      </c>
      <c r="G29" s="19">
        <v>107.7</v>
      </c>
      <c r="H29" s="16">
        <v>115.63</v>
      </c>
      <c r="I29" s="14">
        <v>141.88999999999999</v>
      </c>
      <c r="J29" s="14">
        <v>114.3</v>
      </c>
    </row>
    <row r="30" spans="1:10" ht="15.75" customHeight="1">
      <c r="B30" s="1" t="s">
        <v>14</v>
      </c>
      <c r="C30" s="10" t="s">
        <v>68</v>
      </c>
      <c r="D30" s="10" t="s">
        <v>76</v>
      </c>
      <c r="E30" s="10" t="s">
        <v>1</v>
      </c>
      <c r="F30" s="15" t="s">
        <v>69</v>
      </c>
      <c r="G30" s="19">
        <v>94.99</v>
      </c>
      <c r="H30" s="16">
        <v>89.97</v>
      </c>
      <c r="I30" s="14">
        <v>92.66</v>
      </c>
      <c r="J30" s="14">
        <v>94.47</v>
      </c>
    </row>
    <row r="31" spans="1:10" ht="15.75" customHeight="1">
      <c r="B31" s="1" t="s">
        <v>15</v>
      </c>
      <c r="C31" s="10" t="s">
        <v>83</v>
      </c>
      <c r="D31" s="10" t="s">
        <v>84</v>
      </c>
      <c r="E31" s="10" t="s">
        <v>1</v>
      </c>
      <c r="F31" s="15" t="s">
        <v>69</v>
      </c>
      <c r="G31" s="19">
        <v>86.74</v>
      </c>
      <c r="H31" s="16">
        <v>85.94</v>
      </c>
      <c r="I31" s="14">
        <v>95.7</v>
      </c>
      <c r="J31" s="14">
        <v>90.6</v>
      </c>
    </row>
    <row r="32" spans="1:10" ht="15.75" customHeight="1">
      <c r="C32" s="8"/>
      <c r="D32" s="8"/>
      <c r="E32" s="10"/>
      <c r="F32" s="15"/>
      <c r="G32" s="19"/>
      <c r="H32" s="16"/>
      <c r="I32" s="14"/>
      <c r="J32" s="14"/>
    </row>
    <row r="33" spans="1:10" ht="15.75" customHeight="1">
      <c r="A33" s="6" t="s">
        <v>10</v>
      </c>
      <c r="B33" s="7"/>
      <c r="C33" s="12"/>
      <c r="D33" s="12"/>
      <c r="E33" s="12"/>
      <c r="F33" s="13"/>
      <c r="G33" s="18"/>
      <c r="H33" s="12"/>
      <c r="I33" s="12"/>
      <c r="J33" s="12"/>
    </row>
    <row r="34" spans="1:10" ht="15">
      <c r="B34" s="1" t="s">
        <v>15</v>
      </c>
      <c r="C34" s="10" t="s">
        <v>64</v>
      </c>
      <c r="D34" s="10" t="s">
        <v>47</v>
      </c>
      <c r="E34" s="8" t="s">
        <v>10</v>
      </c>
      <c r="F34" s="11" t="s">
        <v>60</v>
      </c>
      <c r="G34" s="14">
        <v>135.13999999999999</v>
      </c>
      <c r="H34" s="14">
        <v>132.38</v>
      </c>
      <c r="I34" s="14">
        <v>134.79</v>
      </c>
      <c r="J34" s="14">
        <v>134.66999999999999</v>
      </c>
    </row>
    <row r="35" spans="1:10" ht="15">
      <c r="B35" s="1" t="s">
        <v>14</v>
      </c>
      <c r="C35" s="10" t="s">
        <v>44</v>
      </c>
      <c r="D35" s="10" t="s">
        <v>42</v>
      </c>
      <c r="E35" s="8" t="s">
        <v>10</v>
      </c>
      <c r="F35" s="11" t="s">
        <v>45</v>
      </c>
      <c r="G35" s="14">
        <v>126.24</v>
      </c>
      <c r="H35" s="14">
        <v>127.38</v>
      </c>
      <c r="I35" s="14">
        <v>128.27000000000001</v>
      </c>
      <c r="J35" s="14">
        <v>999</v>
      </c>
    </row>
    <row r="36" spans="1:10" ht="15">
      <c r="A36" s="6" t="s">
        <v>56</v>
      </c>
      <c r="B36" s="7"/>
      <c r="C36" s="12"/>
      <c r="D36" s="12"/>
      <c r="E36" s="12"/>
      <c r="F36" s="13"/>
      <c r="G36" s="18"/>
      <c r="H36" s="12"/>
      <c r="I36" s="12"/>
      <c r="J36" s="12"/>
    </row>
    <row r="37" spans="1:10" ht="15">
      <c r="C37" s="8"/>
      <c r="D37" s="8"/>
      <c r="E37" s="8"/>
      <c r="F37" s="9"/>
      <c r="G37" s="8"/>
      <c r="H37" s="8"/>
      <c r="I37" s="8"/>
      <c r="J37" s="8"/>
    </row>
    <row r="38" spans="1:10" ht="15"/>
    <row r="39" spans="1:10" ht="15"/>
    <row r="40" spans="1:10" ht="15"/>
    <row r="41" spans="1:10" ht="15"/>
    <row r="42" spans="1:10" ht="15"/>
    <row r="43" spans="1:10" ht="15"/>
    <row r="44" spans="1:10" ht="15"/>
    <row r="45" spans="1:10" ht="15"/>
    <row r="46" spans="1:10" ht="15"/>
    <row r="47" spans="1:10" ht="15"/>
    <row r="48" spans="1:10" ht="15"/>
    <row r="49" ht="15"/>
    <row r="50" ht="15"/>
    <row r="51" ht="15"/>
    <row r="52" ht="15"/>
    <row r="53" ht="15"/>
  </sheetData>
  <sortState ref="B34:J36">
    <sortCondition ref="F34:F36"/>
    <sortCondition ref="H34:H36"/>
  </sortState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1"/>
  <sheetViews>
    <sheetView zoomScale="60" zoomScaleNormal="60" workbookViewId="0">
      <selection activeCell="A4" sqref="A4:S4"/>
    </sheetView>
  </sheetViews>
  <sheetFormatPr defaultColWidth="17.140625" defaultRowHeight="12.75" customHeight="1"/>
  <cols>
    <col min="1" max="1" width="12.28515625" style="21" customWidth="1"/>
    <col min="2" max="2" width="13" style="21" customWidth="1"/>
    <col min="3" max="3" width="24.8554687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44.1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36">
      <c r="A4" s="112" t="s">
        <v>28</v>
      </c>
      <c r="B4" s="113" t="s">
        <v>11</v>
      </c>
      <c r="C4" s="114" t="s">
        <v>8</v>
      </c>
      <c r="D4" s="114" t="s">
        <v>25</v>
      </c>
      <c r="E4" s="114" t="s">
        <v>85</v>
      </c>
      <c r="F4" s="115" t="s">
        <v>3</v>
      </c>
      <c r="G4" s="115" t="s">
        <v>17</v>
      </c>
      <c r="H4" s="116" t="s">
        <v>21</v>
      </c>
      <c r="I4" s="115" t="s">
        <v>7</v>
      </c>
      <c r="J4" s="115" t="s">
        <v>18</v>
      </c>
      <c r="K4" s="116" t="s">
        <v>22</v>
      </c>
      <c r="L4" s="115" t="s">
        <v>4</v>
      </c>
      <c r="M4" s="115" t="s">
        <v>19</v>
      </c>
      <c r="N4" s="116" t="s">
        <v>23</v>
      </c>
      <c r="O4" s="115" t="s">
        <v>6</v>
      </c>
      <c r="P4" s="115" t="s">
        <v>20</v>
      </c>
      <c r="Q4" s="116" t="s">
        <v>24</v>
      </c>
      <c r="R4" s="116" t="s">
        <v>27</v>
      </c>
      <c r="S4" s="117" t="s">
        <v>26</v>
      </c>
    </row>
    <row r="5" spans="1:19" s="34" customFormat="1" ht="27" customHeight="1">
      <c r="A5" s="42">
        <v>1</v>
      </c>
      <c r="B5" s="29" t="str">
        <f>'2019 OKC Results'!C15</f>
        <v>Cameron</v>
      </c>
      <c r="C5" s="29" t="str">
        <f>'2019 OKC Results'!D15</f>
        <v>SMEDLEY</v>
      </c>
      <c r="D5" s="29" t="str">
        <f>'2019 OKC Results'!E15</f>
        <v>C1M</v>
      </c>
      <c r="E5" s="29" t="str">
        <f>'2019 OKC Results'!F15</f>
        <v>S</v>
      </c>
      <c r="F5" s="30">
        <f>'2019 OKC Results'!G15</f>
        <v>97.96</v>
      </c>
      <c r="G5" s="30">
        <f t="shared" ref="G5:G10" si="0">(F5/F$11)*100</f>
        <v>112.93520866958727</v>
      </c>
      <c r="H5" s="31">
        <f t="shared" ref="H5:H10" si="1">IF((RANK(F5,F$5:F$10,1)=1),0,RANK(F5,F$5:F$10,1))</f>
        <v>0</v>
      </c>
      <c r="I5" s="30">
        <f>'2019 OKC Results'!H15</f>
        <v>97.43</v>
      </c>
      <c r="J5" s="30">
        <f t="shared" ref="J5:J10" si="2">(I5/I$11)*100</f>
        <v>113.36979287875263</v>
      </c>
      <c r="K5" s="31">
        <f t="shared" ref="K5:K10" si="3">IF((RANK(I5,I$5:I$10,1)=1),0,RANK(I5,I$5:I$10,1))</f>
        <v>0</v>
      </c>
      <c r="L5" s="30">
        <f>'2019 OKC Results'!I15</f>
        <v>101.07</v>
      </c>
      <c r="M5" s="30">
        <f t="shared" ref="M5:M10" si="4">(L5/L$11)*100</f>
        <v>109.07619253183682</v>
      </c>
      <c r="N5" s="31">
        <f t="shared" ref="N5:N10" si="5">IF((RANK(L5,L$5:L$10,1)=1),0,RANK(L5,L$5:L$10,1))</f>
        <v>0</v>
      </c>
      <c r="O5" s="30">
        <f>'2019 OKC Results'!J15</f>
        <v>101.22</v>
      </c>
      <c r="P5" s="30">
        <f t="shared" ref="P5:P10" si="6">(O5/O$11)*100</f>
        <v>111.72185430463577</v>
      </c>
      <c r="Q5" s="31">
        <f t="shared" ref="Q5:Q10" si="7">IF((RANK(O5,O$5:O$10,1)=1),0,RANK(O5,O$5:O$10,1))</f>
        <v>0</v>
      </c>
      <c r="R5" s="32">
        <f t="shared" ref="R5:S10" si="8">IF((COUNT(G5,J5,M5,P5)&gt;3),(SUM(G5,J5,M5,P5)-MAX(G5,J5,M5,P5)),SUM(G5,J5,M5,P5))</f>
        <v>333.73325550605989</v>
      </c>
      <c r="S5" s="33">
        <f t="shared" si="8"/>
        <v>0</v>
      </c>
    </row>
    <row r="6" spans="1:19" s="34" customFormat="1" ht="27" customHeight="1">
      <c r="A6" s="42">
        <v>2</v>
      </c>
      <c r="B6" s="29" t="str">
        <f>'2019 OKC Results'!C14</f>
        <v>Spencer</v>
      </c>
      <c r="C6" s="29" t="str">
        <f>'2019 OKC Results'!D14</f>
        <v>POMEROY</v>
      </c>
      <c r="D6" s="29" t="str">
        <f>'2019 OKC Results'!E14</f>
        <v>C1M</v>
      </c>
      <c r="E6" s="29" t="str">
        <f>'2019 OKC Results'!F14</f>
        <v>S</v>
      </c>
      <c r="F6" s="30">
        <f>'2019 OKC Results'!G14</f>
        <v>103.78</v>
      </c>
      <c r="G6" s="30">
        <f t="shared" si="0"/>
        <v>119.64491584044271</v>
      </c>
      <c r="H6" s="31">
        <f t="shared" si="1"/>
        <v>2</v>
      </c>
      <c r="I6" s="30">
        <f>'2019 OKC Results'!H14</f>
        <v>100.86</v>
      </c>
      <c r="J6" s="30">
        <f t="shared" si="2"/>
        <v>117.36094949965093</v>
      </c>
      <c r="K6" s="31">
        <f t="shared" si="3"/>
        <v>2</v>
      </c>
      <c r="L6" s="30">
        <f>'2019 OKC Results'!I14</f>
        <v>108.3</v>
      </c>
      <c r="M6" s="30">
        <f t="shared" si="4"/>
        <v>116.87891215195339</v>
      </c>
      <c r="N6" s="31">
        <f t="shared" si="5"/>
        <v>3</v>
      </c>
      <c r="O6" s="30">
        <f>'2019 OKC Results'!J14</f>
        <v>107.1</v>
      </c>
      <c r="P6" s="30">
        <f t="shared" si="6"/>
        <v>118.21192052980132</v>
      </c>
      <c r="Q6" s="31">
        <f t="shared" si="7"/>
        <v>2</v>
      </c>
      <c r="R6" s="32">
        <f t="shared" si="8"/>
        <v>352.45178218140563</v>
      </c>
      <c r="S6" s="33">
        <f t="shared" si="8"/>
        <v>6</v>
      </c>
    </row>
    <row r="7" spans="1:19" s="34" customFormat="1" ht="27" customHeight="1">
      <c r="A7" s="42">
        <v>3</v>
      </c>
      <c r="B7" s="29" t="str">
        <f>'2019 OKC Results'!C13</f>
        <v>Yannick</v>
      </c>
      <c r="C7" s="29" t="str">
        <f>'2019 OKC Results'!D13</f>
        <v>LAVIOLETTE</v>
      </c>
      <c r="D7" s="29" t="str">
        <f>'2019 OKC Results'!E13</f>
        <v>C1M</v>
      </c>
      <c r="E7" s="29" t="str">
        <f>'2019 OKC Results'!F13</f>
        <v>S</v>
      </c>
      <c r="F7" s="30">
        <f>'2019 OKC Results'!G13</f>
        <v>116.73</v>
      </c>
      <c r="G7" s="30">
        <f t="shared" si="0"/>
        <v>134.57459073091999</v>
      </c>
      <c r="H7" s="31">
        <f t="shared" si="1"/>
        <v>3</v>
      </c>
      <c r="I7" s="30">
        <f>'2019 OKC Results'!H13</f>
        <v>112.91</v>
      </c>
      <c r="J7" s="30">
        <f t="shared" si="2"/>
        <v>131.38235978589714</v>
      </c>
      <c r="K7" s="31">
        <f t="shared" si="3"/>
        <v>3</v>
      </c>
      <c r="L7" s="30">
        <f>'2019 OKC Results'!I13</f>
        <v>107.76</v>
      </c>
      <c r="M7" s="30">
        <f t="shared" si="4"/>
        <v>116.29613641269157</v>
      </c>
      <c r="N7" s="31">
        <f t="shared" si="5"/>
        <v>2</v>
      </c>
      <c r="O7" s="30">
        <f>'2019 OKC Results'!J13</f>
        <v>116.95</v>
      </c>
      <c r="P7" s="30">
        <f t="shared" si="6"/>
        <v>129.08388520971303</v>
      </c>
      <c r="Q7" s="31">
        <f t="shared" si="7"/>
        <v>3</v>
      </c>
      <c r="R7" s="32">
        <f t="shared" si="8"/>
        <v>376.76238140830174</v>
      </c>
      <c r="S7" s="33">
        <f t="shared" si="8"/>
        <v>8</v>
      </c>
    </row>
    <row r="8" spans="1:19" s="34" customFormat="1" ht="27" customHeight="1">
      <c r="A8" s="42">
        <v>4</v>
      </c>
      <c r="B8" s="29" t="str">
        <f>'2019 OKC Results'!C11</f>
        <v>Finn</v>
      </c>
      <c r="C8" s="29" t="str">
        <f>'2019 OKC Results'!D11</f>
        <v>WAKELING</v>
      </c>
      <c r="D8" s="29" t="str">
        <f>'2019 OKC Results'!E11</f>
        <v>C1M</v>
      </c>
      <c r="E8" s="29" t="str">
        <f>'2019 OKC Results'!F11</f>
        <v>J</v>
      </c>
      <c r="F8" s="30">
        <f>'2019 OKC Results'!G11</f>
        <v>133.63999999999999</v>
      </c>
      <c r="G8" s="30">
        <f t="shared" si="0"/>
        <v>154.06963338713396</v>
      </c>
      <c r="H8" s="31">
        <f t="shared" si="1"/>
        <v>4</v>
      </c>
      <c r="I8" s="30">
        <f>'2019 OKC Results'!H11</f>
        <v>131.22</v>
      </c>
      <c r="J8" s="30">
        <f t="shared" si="2"/>
        <v>152.68792180591112</v>
      </c>
      <c r="K8" s="31">
        <f t="shared" si="3"/>
        <v>4</v>
      </c>
      <c r="L8" s="30">
        <f>'2019 OKC Results'!I11</f>
        <v>156.80000000000001</v>
      </c>
      <c r="M8" s="30">
        <f t="shared" si="4"/>
        <v>169.22080725232033</v>
      </c>
      <c r="N8" s="31">
        <f t="shared" si="5"/>
        <v>4</v>
      </c>
      <c r="O8" s="30">
        <f>'2019 OKC Results'!J11</f>
        <v>146.55000000000001</v>
      </c>
      <c r="P8" s="30">
        <f t="shared" si="6"/>
        <v>161.75496688741725</v>
      </c>
      <c r="Q8" s="31">
        <f t="shared" si="7"/>
        <v>6</v>
      </c>
      <c r="R8" s="32">
        <f t="shared" si="8"/>
        <v>468.5125220804623</v>
      </c>
      <c r="S8" s="33">
        <f t="shared" si="8"/>
        <v>12</v>
      </c>
    </row>
    <row r="9" spans="1:19" s="34" customFormat="1" ht="27" customHeight="1">
      <c r="A9" s="42">
        <v>5</v>
      </c>
      <c r="B9" s="29" t="str">
        <f>'2019 OKC Results'!C12</f>
        <v>Alex</v>
      </c>
      <c r="C9" s="29" t="str">
        <f>'2019 OKC Results'!D12</f>
        <v>BALDONI</v>
      </c>
      <c r="D9" s="29" t="str">
        <f>'2019 OKC Results'!E12</f>
        <v>C1M</v>
      </c>
      <c r="E9" s="29" t="str">
        <f>'2019 OKC Results'!F12</f>
        <v>J</v>
      </c>
      <c r="F9" s="30">
        <f>'2019 OKC Results'!G12</f>
        <v>133.88</v>
      </c>
      <c r="G9" s="30">
        <f t="shared" si="0"/>
        <v>154.34632234263316</v>
      </c>
      <c r="H9" s="31">
        <f t="shared" si="1"/>
        <v>5</v>
      </c>
      <c r="I9" s="30">
        <f>'2019 OKC Results'!H12</f>
        <v>131.80000000000001</v>
      </c>
      <c r="J9" s="30">
        <f t="shared" si="2"/>
        <v>153.36281126367234</v>
      </c>
      <c r="K9" s="31">
        <f t="shared" si="3"/>
        <v>5</v>
      </c>
      <c r="L9" s="30">
        <f>'2019 OKC Results'!I12</f>
        <v>433.28</v>
      </c>
      <c r="M9" s="30">
        <f t="shared" si="4"/>
        <v>467.60198575437084</v>
      </c>
      <c r="N9" s="31">
        <f t="shared" si="5"/>
        <v>6</v>
      </c>
      <c r="O9" s="30">
        <f>'2019 OKC Results'!J12</f>
        <v>138.59</v>
      </c>
      <c r="P9" s="30">
        <f t="shared" si="6"/>
        <v>152.96909492273733</v>
      </c>
      <c r="Q9" s="31">
        <f t="shared" si="7"/>
        <v>5</v>
      </c>
      <c r="R9" s="32">
        <f t="shared" si="8"/>
        <v>460.67822852904283</v>
      </c>
      <c r="S9" s="33">
        <f t="shared" si="8"/>
        <v>15</v>
      </c>
    </row>
    <row r="10" spans="1:19" s="34" customFormat="1" ht="27" customHeight="1">
      <c r="A10" s="42">
        <v>6</v>
      </c>
      <c r="B10" s="29" t="str">
        <f>'2019 OKC Results'!C10</f>
        <v>Jakob</v>
      </c>
      <c r="C10" s="29" t="str">
        <f>'2019 OKC Results'!D10</f>
        <v>KRYWORUCHKO</v>
      </c>
      <c r="D10" s="29" t="str">
        <f>'2019 OKC Results'!E10</f>
        <v>C1M</v>
      </c>
      <c r="E10" s="29" t="str">
        <f>'2019 OKC Results'!F10</f>
        <v>J</v>
      </c>
      <c r="F10" s="30">
        <f>'2019 OKC Results'!G10</f>
        <v>161.91999999999999</v>
      </c>
      <c r="G10" s="30">
        <f t="shared" si="0"/>
        <v>186.67281531012222</v>
      </c>
      <c r="H10" s="31">
        <f t="shared" si="1"/>
        <v>6</v>
      </c>
      <c r="I10" s="30">
        <f>'2019 OKC Results'!H10</f>
        <v>138.29</v>
      </c>
      <c r="J10" s="30">
        <f t="shared" si="2"/>
        <v>160.91459157551779</v>
      </c>
      <c r="K10" s="31">
        <f t="shared" si="3"/>
        <v>6</v>
      </c>
      <c r="L10" s="30">
        <f>'2019 OKC Results'!I10</f>
        <v>259.14999999999998</v>
      </c>
      <c r="M10" s="30">
        <f t="shared" si="4"/>
        <v>279.67839412907398</v>
      </c>
      <c r="N10" s="31">
        <f t="shared" si="5"/>
        <v>5</v>
      </c>
      <c r="O10" s="30">
        <f>'2019 OKC Results'!J10</f>
        <v>133.19</v>
      </c>
      <c r="P10" s="30">
        <f t="shared" si="6"/>
        <v>147.00883002207505</v>
      </c>
      <c r="Q10" s="31">
        <f t="shared" si="7"/>
        <v>4</v>
      </c>
      <c r="R10" s="32">
        <f t="shared" si="8"/>
        <v>494.59623690771508</v>
      </c>
      <c r="S10" s="33">
        <f t="shared" si="8"/>
        <v>15</v>
      </c>
    </row>
    <row r="11" spans="1:19" ht="27" customHeight="1">
      <c r="A11" s="35" t="s">
        <v>136</v>
      </c>
      <c r="B11" s="34"/>
      <c r="C11" s="34"/>
      <c r="D11" s="36"/>
      <c r="E11" s="36"/>
      <c r="F11" s="37">
        <f>K1M!F$17</f>
        <v>86.74</v>
      </c>
      <c r="G11" s="37"/>
      <c r="H11" s="38"/>
      <c r="I11" s="37">
        <f>K1M!I$17</f>
        <v>85.94</v>
      </c>
      <c r="J11" s="37"/>
      <c r="K11" s="38"/>
      <c r="L11" s="37">
        <f>K1M!L$17</f>
        <v>92.66</v>
      </c>
      <c r="M11" s="37"/>
      <c r="N11" s="38"/>
      <c r="O11" s="37">
        <f>K1M!O$17</f>
        <v>90.6</v>
      </c>
      <c r="P11" s="37"/>
      <c r="Q11" s="38"/>
      <c r="R11" s="38"/>
      <c r="S11" s="39"/>
    </row>
    <row r="12" spans="1:19" ht="27" customHeight="1">
      <c r="A12" s="35" t="s">
        <v>77</v>
      </c>
      <c r="B12" s="52">
        <v>112.7</v>
      </c>
      <c r="C12" s="108" t="s">
        <v>88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ht="37.5" customHeight="1">
      <c r="A13" s="100" t="s">
        <v>36</v>
      </c>
      <c r="B13" s="101"/>
      <c r="C13" s="101"/>
      <c r="D13" s="101"/>
      <c r="E13" s="101"/>
      <c r="F13" s="102"/>
      <c r="G13" s="102"/>
      <c r="H13" s="103"/>
      <c r="I13" s="102"/>
      <c r="J13" s="102"/>
      <c r="K13" s="103"/>
      <c r="L13" s="102"/>
      <c r="M13" s="102"/>
      <c r="N13" s="103"/>
      <c r="O13" s="102"/>
      <c r="P13" s="102"/>
      <c r="Q13" s="103"/>
      <c r="R13" s="103"/>
      <c r="S13" s="104"/>
    </row>
    <row r="21" spans="4:22" ht="12.75" customHeight="1"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</sheetData>
  <sortState ref="A13:T16">
    <sortCondition ref="A13:A16"/>
    <sortCondition ref="R13:R16"/>
  </sortState>
  <mergeCells count="6">
    <mergeCell ref="A2:S2"/>
    <mergeCell ref="A13:S13"/>
    <mergeCell ref="D21:V21"/>
    <mergeCell ref="A1:S1"/>
    <mergeCell ref="A3:S3"/>
    <mergeCell ref="C12:S12"/>
  </mergeCells>
  <conditionalFormatting sqref="J5:J10 M5:M10 P5:P10 G5:G10">
    <cfRule type="cellIs" dxfId="183" priority="514" stopIfTrue="1" operator="lessThan">
      <formula>$B$12</formula>
    </cfRule>
  </conditionalFormatting>
  <pageMargins left="0.75" right="0.75" top="1" bottom="1" header="0.5" footer="0.5"/>
  <pageSetup paperSize="9" scale="59" orientation="landscape" verticalDpi="300" r:id="rId1"/>
  <headerFooter alignWithMargins="0">
    <oddHeader xml:space="preserve">&amp;C&amp;"Cubano,Regular"&amp;16
</oddHead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19"/>
  <sheetViews>
    <sheetView zoomScale="60" zoomScaleNormal="60" workbookViewId="0">
      <selection activeCell="F5" sqref="F5:K5"/>
    </sheetView>
  </sheetViews>
  <sheetFormatPr defaultColWidth="17.140625" defaultRowHeight="12.75" customHeight="1"/>
  <cols>
    <col min="1" max="1" width="10.42578125" style="21" customWidth="1"/>
    <col min="2" max="2" width="13" style="21" customWidth="1"/>
    <col min="3" max="3" width="24.8554687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20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0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0" ht="44.1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20" ht="36">
      <c r="A4" s="22" t="s">
        <v>28</v>
      </c>
      <c r="B4" s="23" t="s">
        <v>11</v>
      </c>
      <c r="C4" s="24" t="s">
        <v>8</v>
      </c>
      <c r="D4" s="24" t="s">
        <v>25</v>
      </c>
      <c r="E4" s="24" t="s">
        <v>85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  <c r="T4" s="55" t="s">
        <v>98</v>
      </c>
    </row>
    <row r="5" spans="1:20" s="34" customFormat="1" ht="27" customHeight="1">
      <c r="A5" s="44">
        <v>1</v>
      </c>
      <c r="B5" s="44">
        <v>1</v>
      </c>
      <c r="C5" s="45" t="str">
        <f>'2019 OKC Results'!D10</f>
        <v>KRYWORUCHKO</v>
      </c>
      <c r="D5" s="45" t="str">
        <f>'2019 OKC Results'!E10</f>
        <v>C1M</v>
      </c>
      <c r="E5" s="45" t="str">
        <f>'2019 OKC Results'!F10</f>
        <v>J</v>
      </c>
      <c r="F5" s="45">
        <f>'2019 OKC Results'!G10</f>
        <v>161.91999999999999</v>
      </c>
      <c r="G5" s="46" t="e">
        <f>(F5/F$10)*100</f>
        <v>#DIV/0!</v>
      </c>
      <c r="H5" s="47">
        <f>IF((RANK(F5,F$5:F$7,1)=1),0,RANK(F5,F$5:F$10,1))</f>
        <v>4</v>
      </c>
      <c r="I5" s="47" t="e">
        <f>IF((RANK(G5,G$5:G$9,1)=1),0,RANK(G5,G$5:G$9,1))</f>
        <v>#DIV/0!</v>
      </c>
      <c r="J5" s="46">
        <f>'2019 OKC Results'!I10</f>
        <v>259.14999999999998</v>
      </c>
      <c r="K5" s="47" t="e">
        <f>IF((RANK(I5,I$5:I$7,1)=1),0,RANK(I5,I$5:I$10,1))</f>
        <v>#DIV/0!</v>
      </c>
      <c r="L5" s="47">
        <f>IF((RANK(J5,J$5:J$9,1)=1),0,RANK(J5,J$5:J$9,1))</f>
        <v>2</v>
      </c>
      <c r="M5" s="46">
        <f>'2019 OKC Results'!J10</f>
        <v>133.19</v>
      </c>
      <c r="N5" s="47">
        <f>IF((RANK(L5,L$5:L$7,1)=1),0,RANK(L5,L$5:L$10,1))</f>
        <v>2</v>
      </c>
      <c r="O5" s="47">
        <f>IF((RANK(M5,M$5:M$9,1)=1),0,RANK(M5,M$5:M$9,1))</f>
        <v>0</v>
      </c>
      <c r="P5" s="46">
        <f>'2019 OKC Results'!K10</f>
        <v>0</v>
      </c>
      <c r="Q5" s="46" t="e">
        <f>(P5/P$10)*100</f>
        <v>#DIV/0!</v>
      </c>
      <c r="R5" s="47">
        <f>IF((RANK(P5,P$5:P$9,1)=1),0,RANK(P5,P$5:P$9,1))</f>
        <v>0</v>
      </c>
      <c r="S5" s="48" t="e">
        <f t="shared" ref="S5:T7" si="0">IF((COUNT(H5,K5,N5,Q5)&gt;3),(SUM(H5,K5,N5,Q5)-MAX(H5,K5,N5,Q5)),SUM(H5,K5,N5,Q5))</f>
        <v>#DIV/0!</v>
      </c>
      <c r="T5" s="54" t="e">
        <f t="shared" si="0"/>
        <v>#DIV/0!</v>
      </c>
    </row>
    <row r="6" spans="1:20" s="34" customFormat="1" ht="27" customHeight="1">
      <c r="A6" s="44">
        <v>2</v>
      </c>
      <c r="B6" s="44">
        <v>2</v>
      </c>
      <c r="C6" s="45" t="str">
        <f>'2019 OKC Results'!D11</f>
        <v>WAKELING</v>
      </c>
      <c r="D6" s="45" t="str">
        <f>'2019 OKC Results'!E11</f>
        <v>C1M</v>
      </c>
      <c r="E6" s="45" t="str">
        <f>'2019 OKC Results'!F11</f>
        <v>J</v>
      </c>
      <c r="F6" s="45">
        <f>'2019 OKC Results'!G11</f>
        <v>133.63999999999999</v>
      </c>
      <c r="G6" s="46" t="e">
        <f>(F6/F$10)*100</f>
        <v>#DIV/0!</v>
      </c>
      <c r="H6" s="47">
        <f>IF((RANK(F6,F$5:F$7,1)=1),0,RANK(F6,F$5:F$10,1))</f>
        <v>0</v>
      </c>
      <c r="I6" s="47" t="e">
        <f>IF((RANK(G6,G$5:G$9,1)=1),0,RANK(G6,G$5:G$9,1))</f>
        <v>#DIV/0!</v>
      </c>
      <c r="J6" s="46">
        <f>'2019 OKC Results'!I11</f>
        <v>156.80000000000001</v>
      </c>
      <c r="K6" s="47" t="e">
        <f>IF((RANK(I6,I$5:I$7,1)=1),0,RANK(I6,I$5:I$10,1))</f>
        <v>#DIV/0!</v>
      </c>
      <c r="L6" s="47">
        <f>IF((RANK(J6,J$5:J$9,1)=1),0,RANK(J6,J$5:J$9,1))</f>
        <v>0</v>
      </c>
      <c r="M6" s="46">
        <f>'2019 OKC Results'!J11</f>
        <v>146.55000000000001</v>
      </c>
      <c r="N6" s="47">
        <f>IF((RANK(L6,L$5:L$7,1)=1),0,RANK(L6,L$5:L$10,1))</f>
        <v>0</v>
      </c>
      <c r="O6" s="47">
        <f>IF((RANK(M6,M$5:M$9,1)=1),0,RANK(M6,M$5:M$9,1))</f>
        <v>3</v>
      </c>
      <c r="P6" s="46">
        <f>'2019 OKC Results'!K11</f>
        <v>0</v>
      </c>
      <c r="Q6" s="46" t="e">
        <f>(P6/P$10)*100</f>
        <v>#DIV/0!</v>
      </c>
      <c r="R6" s="47">
        <f>IF((RANK(P6,P$5:P$9,1)=1),0,RANK(P6,P$5:P$9,1))</f>
        <v>0</v>
      </c>
      <c r="S6" s="48" t="e">
        <f t="shared" si="0"/>
        <v>#DIV/0!</v>
      </c>
      <c r="T6" s="54" t="e">
        <f t="shared" si="0"/>
        <v>#DIV/0!</v>
      </c>
    </row>
    <row r="7" spans="1:20" s="34" customFormat="1" ht="27" customHeight="1">
      <c r="A7" s="44">
        <v>3</v>
      </c>
      <c r="B7" s="44">
        <v>3</v>
      </c>
      <c r="C7" s="45" t="str">
        <f>'2019 OKC Results'!D12</f>
        <v>BALDONI</v>
      </c>
      <c r="D7" s="45" t="str">
        <f>'2019 OKC Results'!E12</f>
        <v>C1M</v>
      </c>
      <c r="E7" s="45" t="str">
        <f>'2019 OKC Results'!F12</f>
        <v>J</v>
      </c>
      <c r="F7" s="45">
        <f>'2019 OKC Results'!G12</f>
        <v>133.88</v>
      </c>
      <c r="G7" s="46" t="e">
        <f>(F7/F$10)*100</f>
        <v>#DIV/0!</v>
      </c>
      <c r="H7" s="47">
        <f>IF((RANK(F7,F$5:F$7,1)=1),0,RANK(F7,F$5:F$10,1))</f>
        <v>3</v>
      </c>
      <c r="I7" s="47" t="e">
        <f>IF((RANK(G7,G$5:G$9,1)=1),0,RANK(G7,G$5:G$9,1))</f>
        <v>#DIV/0!</v>
      </c>
      <c r="J7" s="46">
        <f>'2019 OKC Results'!I12</f>
        <v>433.28</v>
      </c>
      <c r="K7" s="47" t="e">
        <f>IF((RANK(I7,I$5:I$7,1)=1),0,RANK(I7,I$5:I$10,1))</f>
        <v>#DIV/0!</v>
      </c>
      <c r="L7" s="47">
        <f>IF((RANK(J7,J$5:J$9,1)=1),0,RANK(J7,J$5:J$9,1))</f>
        <v>3</v>
      </c>
      <c r="M7" s="46">
        <f>'2019 OKC Results'!J12</f>
        <v>138.59</v>
      </c>
      <c r="N7" s="47">
        <f>IF((RANK(L7,L$5:L$7,1)=1),0,RANK(L7,L$5:L$10,1))</f>
        <v>3</v>
      </c>
      <c r="O7" s="47">
        <f>IF((RANK(M7,M$5:M$9,1)=1),0,RANK(M7,M$5:M$9,1))</f>
        <v>2</v>
      </c>
      <c r="P7" s="46">
        <f>'2019 OKC Results'!K12</f>
        <v>0</v>
      </c>
      <c r="Q7" s="46" t="e">
        <f>(P7/P$10)*100</f>
        <v>#DIV/0!</v>
      </c>
      <c r="R7" s="47">
        <f>IF((RANK(P7,P$5:P$9,1)=1),0,RANK(P7,P$5:P$9,1))</f>
        <v>0</v>
      </c>
      <c r="S7" s="48" t="e">
        <f t="shared" si="0"/>
        <v>#DIV/0!</v>
      </c>
      <c r="T7" s="54" t="e">
        <f t="shared" si="0"/>
        <v>#DIV/0!</v>
      </c>
    </row>
    <row r="8" spans="1:20" ht="27" customHeight="1">
      <c r="A8" s="35" t="s">
        <v>35</v>
      </c>
      <c r="B8" s="34"/>
      <c r="C8" s="34"/>
      <c r="D8" s="36"/>
      <c r="E8" s="36"/>
      <c r="F8" s="37">
        <f>'K1M (U23)'!F$15</f>
        <v>105.66</v>
      </c>
      <c r="G8" s="37"/>
      <c r="H8" s="38"/>
      <c r="I8" s="37">
        <f>'K1M (U23)'!$I$15</f>
        <v>95.02</v>
      </c>
      <c r="J8" s="37"/>
      <c r="K8" s="38"/>
      <c r="L8" s="37">
        <f>'K1M (U23)'!$L$15</f>
        <v>101.5</v>
      </c>
      <c r="M8" s="37"/>
      <c r="N8" s="38"/>
      <c r="O8" s="37">
        <f>'K1M (U23)'!$O$15</f>
        <v>110.45</v>
      </c>
      <c r="P8" s="37"/>
      <c r="Q8" s="38"/>
      <c r="R8" s="38"/>
      <c r="S8" s="39"/>
    </row>
    <row r="9" spans="1:20" ht="27" customHeight="1">
      <c r="A9" s="35" t="s">
        <v>58</v>
      </c>
      <c r="B9" s="40">
        <v>119</v>
      </c>
      <c r="C9" s="108" t="s">
        <v>89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1" spans="1:20" ht="27.75" customHeight="1">
      <c r="A11" s="100" t="s">
        <v>36</v>
      </c>
      <c r="B11" s="101"/>
      <c r="C11" s="101"/>
      <c r="D11" s="101"/>
      <c r="E11" s="101"/>
      <c r="F11" s="102"/>
      <c r="G11" s="102"/>
      <c r="H11" s="103"/>
      <c r="I11" s="102"/>
      <c r="J11" s="102"/>
      <c r="K11" s="103"/>
      <c r="L11" s="102"/>
      <c r="M11" s="102"/>
      <c r="N11" s="103"/>
      <c r="O11" s="102"/>
      <c r="P11" s="102"/>
      <c r="Q11" s="103"/>
      <c r="R11" s="103"/>
      <c r="S11" s="104"/>
    </row>
    <row r="19" spans="4:22" ht="12.75" customHeight="1"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</sheetData>
  <mergeCells count="6">
    <mergeCell ref="A1:S1"/>
    <mergeCell ref="A2:S2"/>
    <mergeCell ref="A3:S3"/>
    <mergeCell ref="A11:S11"/>
    <mergeCell ref="D19:V19"/>
    <mergeCell ref="C9:S9"/>
  </mergeCells>
  <conditionalFormatting sqref="Q5:Q7">
    <cfRule type="cellIs" dxfId="160" priority="2" stopIfTrue="1" operator="lessThan">
      <formula>$B$11</formula>
    </cfRule>
  </conditionalFormatting>
  <conditionalFormatting sqref="G5:G7">
    <cfRule type="cellIs" dxfId="159" priority="1" stopIfTrue="1" operator="lessThan">
      <formula>$B$11</formula>
    </cfRule>
  </conditionalFormatting>
  <pageMargins left="0.75" right="0.75" top="1" bottom="1" header="0.5" footer="0.5"/>
  <pageSetup paperSize="9" scale="59" orientation="landscape" verticalDpi="300" r:id="rId1"/>
  <headerFooter alignWithMargins="0">
    <oddHeader xml:space="preserve">&amp;C&amp;"Cubano,Regular"&amp;16
</oddHead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0"/>
  <sheetViews>
    <sheetView tabSelected="1" zoomScale="60" zoomScaleNormal="60" workbookViewId="0">
      <selection activeCell="P6" sqref="P6"/>
    </sheetView>
  </sheetViews>
  <sheetFormatPr defaultColWidth="17.140625" defaultRowHeight="12.75" customHeight="1"/>
  <cols>
    <col min="1" max="1" width="12" style="21" customWidth="1"/>
    <col min="2" max="2" width="13" style="21" customWidth="1"/>
    <col min="3" max="3" width="24.8554687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44.1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36">
      <c r="A4" s="112" t="s">
        <v>28</v>
      </c>
      <c r="B4" s="113" t="s">
        <v>11</v>
      </c>
      <c r="C4" s="114" t="s">
        <v>8</v>
      </c>
      <c r="D4" s="114" t="s">
        <v>25</v>
      </c>
      <c r="E4" s="114" t="s">
        <v>85</v>
      </c>
      <c r="F4" s="115" t="s">
        <v>3</v>
      </c>
      <c r="G4" s="115" t="s">
        <v>17</v>
      </c>
      <c r="H4" s="116" t="s">
        <v>21</v>
      </c>
      <c r="I4" s="115" t="s">
        <v>7</v>
      </c>
      <c r="J4" s="115" t="s">
        <v>18</v>
      </c>
      <c r="K4" s="116" t="s">
        <v>22</v>
      </c>
      <c r="L4" s="115" t="s">
        <v>4</v>
      </c>
      <c r="M4" s="115" t="s">
        <v>19</v>
      </c>
      <c r="N4" s="116" t="s">
        <v>23</v>
      </c>
      <c r="O4" s="115" t="s">
        <v>6</v>
      </c>
      <c r="P4" s="115" t="s">
        <v>20</v>
      </c>
      <c r="Q4" s="116" t="s">
        <v>24</v>
      </c>
      <c r="R4" s="116" t="s">
        <v>27</v>
      </c>
      <c r="S4" s="117" t="s">
        <v>26</v>
      </c>
    </row>
    <row r="5" spans="1:19" s="34" customFormat="1" ht="27" customHeight="1">
      <c r="A5" s="44">
        <v>1</v>
      </c>
      <c r="B5" s="45" t="str">
        <f>'2019 OKC Results'!C11</f>
        <v>Finn</v>
      </c>
      <c r="C5" s="45" t="str">
        <f>'2019 OKC Results'!D11</f>
        <v>WAKELING</v>
      </c>
      <c r="D5" s="45" t="str">
        <f>'2019 OKC Results'!E11</f>
        <v>C1M</v>
      </c>
      <c r="E5" s="45" t="str">
        <f>'2019 OKC Results'!F11</f>
        <v>J</v>
      </c>
      <c r="F5" s="46">
        <f>'2019 OKC Results'!G11</f>
        <v>133.63999999999999</v>
      </c>
      <c r="G5" s="46">
        <f>(F5/F$8)*100</f>
        <v>120.76631122356767</v>
      </c>
      <c r="H5" s="47">
        <f>IF((RANK(F5,F$5:F$7,1)=1),0,RANK(F5,F$5:F$7,1))</f>
        <v>0</v>
      </c>
      <c r="I5" s="46">
        <f>'2019 OKC Results'!H11</f>
        <v>131.22</v>
      </c>
      <c r="J5" s="46">
        <f>(I5/I$8)*100</f>
        <v>130.04955401387514</v>
      </c>
      <c r="K5" s="47">
        <f>IF((RANK(I5,I$5:I$7,1)=1),0,RANK(I5,I$5:I$7,1))</f>
        <v>0</v>
      </c>
      <c r="L5" s="46">
        <f>'2019 OKC Results'!I11</f>
        <v>156.80000000000001</v>
      </c>
      <c r="M5" s="46">
        <f>(L5/L$8)*100</f>
        <v>128.91556359450794</v>
      </c>
      <c r="N5" s="47">
        <f>IF((RANK(L5,L$5:L$7,1)=1),0,RANK(L5,L$5:L$7,1))</f>
        <v>0</v>
      </c>
      <c r="O5" s="46">
        <f>'2019 OKC Results'!J11</f>
        <v>146.55000000000001</v>
      </c>
      <c r="P5" s="46">
        <f>(O5/O$8)*100</f>
        <v>128.31625952193332</v>
      </c>
      <c r="Q5" s="47">
        <f>IF((RANK(O5,O$5:O$7,1)=1),0,RANK(O5,O$5:O$7,1))</f>
        <v>3</v>
      </c>
      <c r="R5" s="48">
        <f t="shared" ref="R5:S7" si="0">IF((COUNT(G5,J5,M5,P5)&gt;3),(SUM(G5,J5,M5,P5)-MAX(G5,J5,M5,P5)),SUM(G5,J5,M5,P5))</f>
        <v>377.99813434000896</v>
      </c>
      <c r="S5" s="49">
        <f t="shared" si="0"/>
        <v>0</v>
      </c>
    </row>
    <row r="6" spans="1:19" s="34" customFormat="1" ht="27" customHeight="1">
      <c r="A6" s="44">
        <v>2</v>
      </c>
      <c r="B6" s="45" t="str">
        <f>'2019 OKC Results'!C10</f>
        <v>Jakob</v>
      </c>
      <c r="C6" s="45" t="str">
        <f>'2019 OKC Results'!D10</f>
        <v>KRYWORUCHKO</v>
      </c>
      <c r="D6" s="45" t="str">
        <f>'2019 OKC Results'!E10</f>
        <v>C1M</v>
      </c>
      <c r="E6" s="45" t="str">
        <f>'2019 OKC Results'!F10</f>
        <v>J</v>
      </c>
      <c r="F6" s="46">
        <f>'2019 OKC Results'!G10</f>
        <v>161.91999999999999</v>
      </c>
      <c r="G6" s="46">
        <f>(F6/F$8)*100</f>
        <v>146.32206759443341</v>
      </c>
      <c r="H6" s="47">
        <f>IF((RANK(F6,F$5:F$7,1)=1),0,RANK(F6,F$5:F$7,1))</f>
        <v>3</v>
      </c>
      <c r="I6" s="46">
        <f>'2019 OKC Results'!H10</f>
        <v>138.29</v>
      </c>
      <c r="J6" s="46">
        <f>(I6/I$8)*100</f>
        <v>137.05649157581763</v>
      </c>
      <c r="K6" s="47">
        <f>IF((RANK(I6,I$5:I$7,1)=1),0,RANK(I6,I$5:I$7,1))</f>
        <v>3</v>
      </c>
      <c r="L6" s="46">
        <f>'2019 OKC Results'!I10</f>
        <v>259.14999999999998</v>
      </c>
      <c r="M6" s="46">
        <f>(L6/L$8)*100</f>
        <v>213.06421113212201</v>
      </c>
      <c r="N6" s="47">
        <f>IF((RANK(L6,L$5:L$7,1)=1),0,RANK(L6,L$5:L$7,1))</f>
        <v>2</v>
      </c>
      <c r="O6" s="46">
        <f>'2019 OKC Results'!J10</f>
        <v>133.19</v>
      </c>
      <c r="P6" s="46">
        <f>(O6/O$8)*100</f>
        <v>116.61850976271782</v>
      </c>
      <c r="Q6" s="47">
        <f>IF((RANK(O6,O$5:O$7,1)=1),0,RANK(O6,O$5:O$7,1))</f>
        <v>0</v>
      </c>
      <c r="R6" s="48">
        <f t="shared" si="0"/>
        <v>399.99706893296883</v>
      </c>
      <c r="S6" s="49">
        <f t="shared" si="0"/>
        <v>5</v>
      </c>
    </row>
    <row r="7" spans="1:19" s="34" customFormat="1" ht="27" customHeight="1">
      <c r="A7" s="44">
        <v>3</v>
      </c>
      <c r="B7" s="45" t="str">
        <f>'2019 OKC Results'!C12</f>
        <v>Alex</v>
      </c>
      <c r="C7" s="45" t="str">
        <f>'2019 OKC Results'!D12</f>
        <v>BALDONI</v>
      </c>
      <c r="D7" s="45" t="str">
        <f>'2019 OKC Results'!E12</f>
        <v>C1M</v>
      </c>
      <c r="E7" s="45" t="str">
        <f>'2019 OKC Results'!F12</f>
        <v>J</v>
      </c>
      <c r="F7" s="46">
        <f>'2019 OKC Results'!G12</f>
        <v>133.88</v>
      </c>
      <c r="G7" s="46">
        <f>(F7/F$8)*100</f>
        <v>120.98319175853966</v>
      </c>
      <c r="H7" s="47">
        <f>IF((RANK(F7,F$5:F$7,1)=1),0,RANK(F7,F$5:F$7,1))</f>
        <v>2</v>
      </c>
      <c r="I7" s="46">
        <f>'2019 OKC Results'!H12</f>
        <v>131.80000000000001</v>
      </c>
      <c r="J7" s="46">
        <f>(I7/I$8)*100</f>
        <v>130.62438057482657</v>
      </c>
      <c r="K7" s="47">
        <f>IF((RANK(I7,I$5:I$7,1)=1),0,RANK(I7,I$5:I$7,1))</f>
        <v>2</v>
      </c>
      <c r="L7" s="46">
        <f>'2019 OKC Results'!I12</f>
        <v>433.28</v>
      </c>
      <c r="M7" s="46">
        <f>(L7/L$8)*100</f>
        <v>356.22790429992597</v>
      </c>
      <c r="N7" s="47">
        <f>IF((RANK(L7,L$5:L$7,1)=1),0,RANK(L7,L$5:L$7,1))</f>
        <v>3</v>
      </c>
      <c r="O7" s="46">
        <f>'2019 OKC Results'!J12</f>
        <v>138.59</v>
      </c>
      <c r="P7" s="46">
        <f>(O7/O$8)*100</f>
        <v>121.34664215042466</v>
      </c>
      <c r="Q7" s="47">
        <f>IF((RANK(O7,O$5:O$7,1)=1),0,RANK(O7,O$5:O$7,1))</f>
        <v>2</v>
      </c>
      <c r="R7" s="48">
        <f t="shared" si="0"/>
        <v>372.95421448379102</v>
      </c>
      <c r="S7" s="49">
        <f t="shared" si="0"/>
        <v>6</v>
      </c>
    </row>
    <row r="8" spans="1:19" ht="27" customHeight="1">
      <c r="A8" s="35" t="s">
        <v>136</v>
      </c>
      <c r="B8" s="34"/>
      <c r="C8" s="34"/>
      <c r="D8" s="36"/>
      <c r="E8" s="36"/>
      <c r="F8" s="37">
        <f>'K1M (JR)'!$F$12</f>
        <v>110.66</v>
      </c>
      <c r="G8" s="37"/>
      <c r="H8" s="38"/>
      <c r="I8" s="37">
        <f>'K1M (JR)'!$I$12</f>
        <v>100.9</v>
      </c>
      <c r="J8" s="37"/>
      <c r="K8" s="38"/>
      <c r="L8" s="37">
        <f>'K1M (JR)'!L12</f>
        <v>121.63</v>
      </c>
      <c r="M8" s="37"/>
      <c r="N8" s="38"/>
      <c r="O8" s="37">
        <f>'K1M (JR)'!O12</f>
        <v>114.21</v>
      </c>
      <c r="P8" s="37"/>
      <c r="Q8" s="38"/>
      <c r="R8" s="38"/>
      <c r="S8" s="39"/>
    </row>
    <row r="9" spans="1:19" ht="25.5" customHeight="1">
      <c r="A9" s="35" t="s">
        <v>58</v>
      </c>
      <c r="B9" s="40">
        <v>124</v>
      </c>
      <c r="C9" s="108" t="s">
        <v>118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31.9" customHeight="1">
      <c r="A10" s="100" t="s">
        <v>36</v>
      </c>
      <c r="B10" s="101"/>
      <c r="C10" s="101"/>
      <c r="D10" s="101"/>
      <c r="E10" s="101"/>
      <c r="F10" s="102"/>
      <c r="G10" s="102"/>
      <c r="H10" s="103"/>
      <c r="I10" s="102"/>
      <c r="J10" s="102"/>
      <c r="K10" s="103"/>
      <c r="L10" s="102"/>
      <c r="M10" s="102"/>
      <c r="N10" s="103"/>
      <c r="O10" s="102"/>
      <c r="P10" s="102"/>
      <c r="Q10" s="103"/>
      <c r="R10" s="103"/>
      <c r="S10" s="104"/>
    </row>
  </sheetData>
  <mergeCells count="5">
    <mergeCell ref="A1:S1"/>
    <mergeCell ref="A2:S2"/>
    <mergeCell ref="A3:S3"/>
    <mergeCell ref="A10:S10"/>
    <mergeCell ref="C9:S9"/>
  </mergeCells>
  <conditionalFormatting sqref="G5:G7 J5:J7 M5:M7 P5:P7">
    <cfRule type="cellIs" dxfId="133" priority="5" stopIfTrue="1" operator="lessThan">
      <formula>$B$10</formula>
    </cfRule>
  </conditionalFormatting>
  <conditionalFormatting sqref="G5:G7">
    <cfRule type="cellIs" dxfId="132" priority="4" operator="lessThan">
      <formula>$B$9</formula>
    </cfRule>
  </conditionalFormatting>
  <conditionalFormatting sqref="J5:J7">
    <cfRule type="cellIs" dxfId="131" priority="3" operator="lessThan">
      <formula>$B$9</formula>
    </cfRule>
  </conditionalFormatting>
  <conditionalFormatting sqref="M5:M7">
    <cfRule type="cellIs" dxfId="130" priority="2" operator="lessThan">
      <formula>$B$9</formula>
    </cfRule>
  </conditionalFormatting>
  <conditionalFormatting sqref="P5:P7">
    <cfRule type="cellIs" dxfId="129" priority="1" operator="lessThan">
      <formula>$B$9</formula>
    </cfRule>
  </conditionalFormatting>
  <pageMargins left="0.75" right="0.75" top="1" bottom="1" header="0.5" footer="0.5"/>
  <pageSetup paperSize="9" scale="59" orientation="landscape" verticalDpi="300" r:id="rId1"/>
  <headerFooter alignWithMargins="0">
    <oddHeader xml:space="preserve">&amp;C&amp;"Cubano,Regular"&amp;16
</oddHead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9"/>
  <sheetViews>
    <sheetView zoomScale="70" zoomScaleNormal="70" workbookViewId="0">
      <selection activeCell="A4" sqref="A4:S4"/>
    </sheetView>
  </sheetViews>
  <sheetFormatPr defaultColWidth="17.140625" defaultRowHeight="12.75" customHeight="1"/>
  <cols>
    <col min="1" max="1" width="12.7109375" style="21" customWidth="1"/>
    <col min="2" max="2" width="13" style="21" customWidth="1"/>
    <col min="3" max="3" width="17.14062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44.1" customHeight="1">
      <c r="A3" s="111" t="s">
        <v>73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36">
      <c r="A4" s="22" t="s">
        <v>28</v>
      </c>
      <c r="B4" s="23" t="s">
        <v>11</v>
      </c>
      <c r="C4" s="24" t="s">
        <v>8</v>
      </c>
      <c r="D4" s="24" t="s">
        <v>25</v>
      </c>
      <c r="E4" s="24" t="s">
        <v>85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</row>
    <row r="5" spans="1:19" ht="21.4" customHeight="1">
      <c r="A5" s="42">
        <v>1</v>
      </c>
      <c r="B5" s="64" t="str">
        <f>'2019 OKC Results'!C35</f>
        <v>Lois</v>
      </c>
      <c r="C5" s="64" t="str">
        <f>'2019 OKC Results'!D35</f>
        <v>BETTERIDGE</v>
      </c>
      <c r="D5" s="64" t="str">
        <f>'2019 OKC Results'!E35</f>
        <v>C1W</v>
      </c>
      <c r="E5" s="64" t="str">
        <f>'2019 OKC Results'!F35</f>
        <v>U23</v>
      </c>
      <c r="F5" s="30">
        <f>'2019 OKC Results'!G35</f>
        <v>126.24</v>
      </c>
      <c r="G5" s="30">
        <f>(F5/F$7)*100</f>
        <v>145.53839059257552</v>
      </c>
      <c r="H5" s="31">
        <f>IF((RANK(F5,F$5:F$6,1)=1),0,RANK(F5,F$5:F$6,1))</f>
        <v>0</v>
      </c>
      <c r="I5" s="30">
        <f>'2019 OKC Results'!H35</f>
        <v>127.38</v>
      </c>
      <c r="J5" s="30">
        <f>(I5/I$7)*100</f>
        <v>148.21968815452641</v>
      </c>
      <c r="K5" s="31">
        <f>IF((RANK(I5,I$5:I$6,1)=1),0,RANK(I5,I$5:I$6,1))</f>
        <v>0</v>
      </c>
      <c r="L5" s="30">
        <f>'2019 OKC Results'!I35</f>
        <v>128.27000000000001</v>
      </c>
      <c r="M5" s="30">
        <f>(L5/L$7)*100</f>
        <v>138.43082236132099</v>
      </c>
      <c r="N5" s="31">
        <f>IF((RANK(L5,L$5:L$6,1)=1),0,RANK(L5,L$5:L$6,1))</f>
        <v>0</v>
      </c>
      <c r="O5" s="30">
        <f>'2019 OKC Results'!J35</f>
        <v>999</v>
      </c>
      <c r="P5" s="30">
        <f>(O5/O$7)*100</f>
        <v>1102.6490066225167</v>
      </c>
      <c r="Q5" s="31">
        <f>IF((RANK(O5,O$5:O$6,1)=1),0,RANK(O5,O$5:O$6,1))</f>
        <v>2</v>
      </c>
      <c r="R5" s="32">
        <f>IF((COUNT(G5,J5,M5,P5)&gt;3),(SUM(G5,J5,M5,P5)-MAX(G5,J5,M5,P5)),SUM(G5,J5,M5,P5))</f>
        <v>432.1889011084229</v>
      </c>
      <c r="S5" s="33">
        <f>IF((COUNT(H5,K5,N5,Q5)&gt;3),(SUM(H5,K5,N5,Q5)-MAX(H5,K5,N5,Q5)),SUM(H5,K5,N5,Q5))</f>
        <v>0</v>
      </c>
    </row>
    <row r="6" spans="1:19" ht="21.4" customHeight="1">
      <c r="A6" s="42">
        <v>2</v>
      </c>
      <c r="B6" s="64" t="str">
        <f>'2019 OKC Results'!C34</f>
        <v>Haley</v>
      </c>
      <c r="C6" s="64" t="str">
        <f>'2019 OKC Results'!D34</f>
        <v>DANIELS</v>
      </c>
      <c r="D6" s="64" t="str">
        <f>'2019 OKC Results'!E34</f>
        <v>C1W</v>
      </c>
      <c r="E6" s="64" t="str">
        <f>'2019 OKC Results'!F34</f>
        <v>S</v>
      </c>
      <c r="F6" s="30">
        <f>'2019 OKC Results'!G34</f>
        <v>135.13999999999999</v>
      </c>
      <c r="G6" s="30">
        <f>(F6/F$7)*100</f>
        <v>155.7989393590039</v>
      </c>
      <c r="H6" s="31">
        <f>IF((RANK(F6,F$5:F$6,1)=1),0,RANK(F6,F$5:F$6,1))</f>
        <v>2</v>
      </c>
      <c r="I6" s="30">
        <f>'2019 OKC Results'!H34</f>
        <v>132.38</v>
      </c>
      <c r="J6" s="30">
        <f>(I6/I$7)*100</f>
        <v>154.03770072143357</v>
      </c>
      <c r="K6" s="31">
        <f>IF((RANK(I6,I$5:I$6,1)=1),0,RANK(I6,I$5:I$6,1))</f>
        <v>2</v>
      </c>
      <c r="L6" s="30">
        <f>'2019 OKC Results'!I34</f>
        <v>134.79</v>
      </c>
      <c r="M6" s="30">
        <f>(L6/L$7)*100</f>
        <v>145.46729980574142</v>
      </c>
      <c r="N6" s="31">
        <f>IF((RANK(L6,L$5:L$6,1)=1),0,RANK(L6,L$5:L$6,1))</f>
        <v>2</v>
      </c>
      <c r="O6" s="30">
        <f>'2019 OKC Results'!J34</f>
        <v>134.66999999999999</v>
      </c>
      <c r="P6" s="30">
        <f>(O6/O$7)*100</f>
        <v>148.64238410596028</v>
      </c>
      <c r="Q6" s="31">
        <f>IF((RANK(O6,O$5:O$6,1)=1),0,RANK(O6,O$5:O$6,1))</f>
        <v>0</v>
      </c>
      <c r="R6" s="32">
        <f>IF((COUNT(G6,J6,M6,P6)&gt;3),(SUM(G6,J6,M6,P6)-MAX(G6,J6,M6,P6)),SUM(G6,J6,M6,P6))</f>
        <v>448.14738463313535</v>
      </c>
      <c r="S6" s="33">
        <f>IF((COUNT(H6,K6,N6,Q6)&gt;3),(SUM(H6,K6,N6,Q6)-MAX(H6,K6,N6,Q6)),SUM(H6,K6,N6,Q6))</f>
        <v>4</v>
      </c>
    </row>
    <row r="7" spans="1:19" s="34" customFormat="1" ht="26.65" customHeight="1">
      <c r="A7" s="35" t="s">
        <v>136</v>
      </c>
      <c r="D7" s="36"/>
      <c r="E7" s="36"/>
      <c r="F7" s="37">
        <f>K1M!F$17</f>
        <v>86.74</v>
      </c>
      <c r="G7" s="37"/>
      <c r="H7" s="38"/>
      <c r="I7" s="37">
        <f>K1M!I$17</f>
        <v>85.94</v>
      </c>
      <c r="J7" s="37"/>
      <c r="K7" s="38"/>
      <c r="L7" s="37">
        <f>K1M!L$17</f>
        <v>92.66</v>
      </c>
      <c r="M7" s="37"/>
      <c r="N7" s="38"/>
      <c r="O7" s="37">
        <f>K1M!O$17</f>
        <v>90.6</v>
      </c>
      <c r="P7" s="37"/>
      <c r="Q7" s="38"/>
      <c r="R7" s="38"/>
      <c r="S7" s="39"/>
    </row>
    <row r="8" spans="1:19" s="34" customFormat="1" ht="26.65" customHeight="1">
      <c r="A8" s="35" t="s">
        <v>75</v>
      </c>
      <c r="B8" s="52">
        <v>142.9</v>
      </c>
      <c r="C8" s="108" t="s">
        <v>120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19" ht="28.15" customHeight="1">
      <c r="A9" s="100" t="s">
        <v>36</v>
      </c>
      <c r="B9" s="101"/>
      <c r="C9" s="101"/>
      <c r="D9" s="101"/>
      <c r="E9" s="101"/>
      <c r="F9" s="102"/>
      <c r="G9" s="102"/>
      <c r="H9" s="103"/>
      <c r="I9" s="102"/>
      <c r="J9" s="102"/>
      <c r="K9" s="103"/>
      <c r="L9" s="102"/>
      <c r="M9" s="102"/>
      <c r="N9" s="103"/>
      <c r="O9" s="102"/>
      <c r="P9" s="102"/>
      <c r="Q9" s="103"/>
      <c r="R9" s="103"/>
      <c r="S9" s="104"/>
    </row>
  </sheetData>
  <sortState ref="A10:T12">
    <sortCondition ref="A10:A12"/>
    <sortCondition ref="R10:R12"/>
  </sortState>
  <mergeCells count="5">
    <mergeCell ref="A2:S2"/>
    <mergeCell ref="A9:S9"/>
    <mergeCell ref="A1:S1"/>
    <mergeCell ref="A3:S3"/>
    <mergeCell ref="C8:S8"/>
  </mergeCells>
  <conditionalFormatting sqref="J5:J6 M5:M6 P5:P6 G5:G6">
    <cfRule type="cellIs" dxfId="105" priority="421" stopIfTrue="1" operator="lessThan">
      <formula>$B$8</formula>
    </cfRule>
  </conditionalFormatting>
  <pageMargins left="0.75" right="0.75" top="1" bottom="1" header="0.5" footer="0.5"/>
  <pageSetup paperSize="9" scale="61" orientation="landscape" verticalDpi="300" r:id="rId1"/>
  <headerFooter alignWithMargins="0">
    <oddHeader xml:space="preserve">&amp;C&amp;"Myriad Pro,Regular"&amp;18
</oddHeader>
  </headerFooter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8"/>
  <sheetViews>
    <sheetView zoomScale="70" zoomScaleNormal="70" workbookViewId="0">
      <selection activeCell="U20" sqref="U20"/>
    </sheetView>
  </sheetViews>
  <sheetFormatPr defaultColWidth="17.140625" defaultRowHeight="12.75" customHeight="1"/>
  <cols>
    <col min="1" max="2" width="13" style="21" customWidth="1"/>
    <col min="3" max="3" width="17.14062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44.1" customHeight="1">
      <c r="A3" s="111" t="s">
        <v>73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36">
      <c r="A4" s="22" t="s">
        <v>28</v>
      </c>
      <c r="B4" s="23" t="s">
        <v>11</v>
      </c>
      <c r="C4" s="24" t="s">
        <v>8</v>
      </c>
      <c r="D4" s="24" t="s">
        <v>25</v>
      </c>
      <c r="E4" s="24" t="s">
        <v>85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</row>
    <row r="5" spans="1:19" ht="21.4" customHeight="1">
      <c r="A5" s="42">
        <v>1</v>
      </c>
      <c r="B5" s="64" t="str">
        <f>'2019 OKC Results'!C35</f>
        <v>Lois</v>
      </c>
      <c r="C5" s="64" t="str">
        <f>'2019 OKC Results'!D35</f>
        <v>BETTERIDGE</v>
      </c>
      <c r="D5" s="29" t="str">
        <f>'2019 OKC Results'!F35</f>
        <v>U23</v>
      </c>
      <c r="E5" s="29"/>
      <c r="F5" s="30">
        <f>'2019 OKC Results'!G35</f>
        <v>126.24</v>
      </c>
      <c r="G5" s="30">
        <f>(F5/F$6)*100</f>
        <v>119.47756956274844</v>
      </c>
      <c r="H5" s="31">
        <f>IF((RANK(F5,F$5:F$5,1)=1),0,RANK(F5,F$5:F$5,1))</f>
        <v>0</v>
      </c>
      <c r="I5" s="30">
        <f>'2019 OKC Results'!H35</f>
        <v>127.38</v>
      </c>
      <c r="J5" s="30">
        <f>(I5/I$6)*100</f>
        <v>134.05598821300779</v>
      </c>
      <c r="K5" s="31">
        <f>IF((RANK(I5,I$5:I$5,1)=1),0,RANK(I5,I$5:I$5,1))</f>
        <v>0</v>
      </c>
      <c r="L5" s="30">
        <f>'2019 OKC Results'!I35</f>
        <v>128.27000000000001</v>
      </c>
      <c r="M5" s="30">
        <f>(L5/L$6)*100</f>
        <v>126.37438423645322</v>
      </c>
      <c r="N5" s="31">
        <f>IF((RANK(L5,L$5:L$5,1)=1),0,RANK(L5,L$5:L$5,1))</f>
        <v>0</v>
      </c>
      <c r="O5" s="30">
        <f>'2019 OKC Results'!J35</f>
        <v>999</v>
      </c>
      <c r="P5" s="30">
        <f>(O5/O$6)*100</f>
        <v>904.4816659121775</v>
      </c>
      <c r="Q5" s="31">
        <f>IF((RANK(O5,O$5:O$5,1)=1),0,RANK(O5,O$5:O$5,1))</f>
        <v>0</v>
      </c>
      <c r="R5" s="32">
        <f>IF((COUNT(G5,J5,M5,P5)&gt;3),(SUM(G5,J5,M5,P5)-MAX(G5,J5,M5,P5)),SUM(G5,J5,M5,P5))</f>
        <v>379.90794201220933</v>
      </c>
      <c r="S5" s="33">
        <f>IF((COUNT(H5,K5,N5,Q5)&gt;3),(SUM(H5,K5,N5,Q5)-MAX(H5,K5,N5,Q5)),SUM(H5,K5,N5,Q5))</f>
        <v>0</v>
      </c>
    </row>
    <row r="6" spans="1:19" s="34" customFormat="1" ht="26.65" customHeight="1">
      <c r="A6" s="35" t="s">
        <v>136</v>
      </c>
      <c r="D6" s="36"/>
      <c r="E6" s="36"/>
      <c r="F6" s="37">
        <f>'K1M (U23)'!F$15</f>
        <v>105.66</v>
      </c>
      <c r="G6" s="37"/>
      <c r="H6" s="38"/>
      <c r="I6" s="37">
        <f>'K1M (U23)'!$I$15</f>
        <v>95.02</v>
      </c>
      <c r="J6" s="37"/>
      <c r="K6" s="38"/>
      <c r="L6" s="37">
        <f>'K1M (U23)'!$L$15</f>
        <v>101.5</v>
      </c>
      <c r="M6" s="37"/>
      <c r="N6" s="38"/>
      <c r="O6" s="37">
        <f>'K1M (U23)'!$O$15</f>
        <v>110.45</v>
      </c>
      <c r="P6" s="37"/>
      <c r="Q6" s="38"/>
      <c r="R6" s="38"/>
      <c r="S6" s="39"/>
    </row>
    <row r="7" spans="1:19" s="34" customFormat="1" ht="26.65" customHeight="1">
      <c r="A7" s="35" t="s">
        <v>58</v>
      </c>
      <c r="B7" s="40">
        <v>147</v>
      </c>
      <c r="C7" s="108" t="s">
        <v>119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ht="28.15" customHeight="1">
      <c r="A8" s="100" t="s">
        <v>36</v>
      </c>
      <c r="B8" s="101"/>
      <c r="C8" s="101"/>
      <c r="D8" s="101"/>
      <c r="E8" s="101"/>
      <c r="F8" s="102"/>
      <c r="G8" s="102"/>
      <c r="H8" s="103"/>
      <c r="I8" s="102"/>
      <c r="J8" s="102"/>
      <c r="K8" s="103"/>
      <c r="L8" s="102"/>
      <c r="M8" s="102"/>
      <c r="N8" s="103"/>
      <c r="O8" s="102"/>
      <c r="P8" s="102"/>
      <c r="Q8" s="103"/>
      <c r="R8" s="103"/>
      <c r="S8" s="104"/>
    </row>
  </sheetData>
  <mergeCells count="5">
    <mergeCell ref="A1:S1"/>
    <mergeCell ref="A2:S2"/>
    <mergeCell ref="A3:S3"/>
    <mergeCell ref="A8:S8"/>
    <mergeCell ref="C7:S7"/>
  </mergeCells>
  <conditionalFormatting sqref="J5 M5 P5 G5">
    <cfRule type="cellIs" dxfId="80" priority="517" stopIfTrue="1" operator="lessThan">
      <formula>$B$7</formula>
    </cfRule>
  </conditionalFormatting>
  <pageMargins left="0.75" right="0.75" top="1" bottom="1" header="0.5" footer="0.5"/>
  <pageSetup paperSize="9" scale="61" orientation="landscape" verticalDpi="300" r:id="rId1"/>
  <headerFooter alignWithMargins="0">
    <oddHeader xml:space="preserve">&amp;C&amp;"Myriad Pro,Regular"&amp;18
</oddHead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99883-F2F8-4A60-B2E5-FE8F2D17C7E7}">
  <dimension ref="A2:I27"/>
  <sheetViews>
    <sheetView workbookViewId="0">
      <selection activeCell="K25" sqref="K25"/>
    </sheetView>
  </sheetViews>
  <sheetFormatPr defaultRowHeight="12.75"/>
  <cols>
    <col min="1" max="1" width="16.85546875" customWidth="1"/>
    <col min="2" max="2" width="5" customWidth="1"/>
    <col min="6" max="6" width="9.85546875" bestFit="1" customWidth="1"/>
  </cols>
  <sheetData>
    <row r="2" spans="1:8">
      <c r="C2">
        <v>1</v>
      </c>
      <c r="E2">
        <v>2</v>
      </c>
    </row>
    <row r="3" spans="1:8">
      <c r="A3" s="58" t="s">
        <v>99</v>
      </c>
      <c r="B3" t="s">
        <v>69</v>
      </c>
      <c r="C3">
        <v>86.74</v>
      </c>
      <c r="D3" s="57">
        <f>C3/C$3</f>
        <v>1</v>
      </c>
      <c r="E3">
        <v>85.94</v>
      </c>
      <c r="F3" s="57">
        <f>E3/E$3</f>
        <v>1</v>
      </c>
      <c r="H3" s="56">
        <f t="shared" ref="H3:H5" si="0">G3/G$19</f>
        <v>0</v>
      </c>
    </row>
    <row r="4" spans="1:8">
      <c r="A4" s="58" t="s">
        <v>100</v>
      </c>
      <c r="B4" t="s">
        <v>69</v>
      </c>
      <c r="C4">
        <v>86.87</v>
      </c>
      <c r="D4" s="57">
        <f>C4/C$3</f>
        <v>1.0014987318422874</v>
      </c>
      <c r="E4">
        <v>86.01</v>
      </c>
      <c r="F4" s="57">
        <f>E4/E$3</f>
        <v>1.0008145217593671</v>
      </c>
      <c r="G4">
        <v>107.92</v>
      </c>
      <c r="H4" s="56">
        <f t="shared" si="0"/>
        <v>1.2625175479644362</v>
      </c>
    </row>
    <row r="5" spans="1:8">
      <c r="A5" s="58" t="s">
        <v>101</v>
      </c>
      <c r="B5" t="s">
        <v>69</v>
      </c>
      <c r="C5">
        <v>94.99</v>
      </c>
      <c r="D5" s="56">
        <f t="shared" ref="D5:F8" si="1">C5/C$3</f>
        <v>1.0951118284528476</v>
      </c>
      <c r="E5">
        <v>89.97</v>
      </c>
      <c r="F5" s="57">
        <f t="shared" si="1"/>
        <v>1.0468931812892717</v>
      </c>
      <c r="G5">
        <v>88.07</v>
      </c>
      <c r="H5" s="57">
        <f t="shared" si="0"/>
        <v>1.0302994852597098</v>
      </c>
    </row>
    <row r="6" spans="1:8">
      <c r="A6" t="s">
        <v>102</v>
      </c>
      <c r="B6" t="s">
        <v>108</v>
      </c>
      <c r="C6">
        <v>95.58</v>
      </c>
      <c r="D6" s="56">
        <f t="shared" si="1"/>
        <v>1.1019137652755362</v>
      </c>
      <c r="E6">
        <v>92.88</v>
      </c>
      <c r="F6" s="56">
        <f t="shared" si="1"/>
        <v>1.0807540144286711</v>
      </c>
      <c r="G6">
        <v>86.35</v>
      </c>
      <c r="H6" s="57">
        <f>G6/G$19</f>
        <v>1.0101778193729527</v>
      </c>
    </row>
    <row r="7" spans="1:8">
      <c r="A7" t="s">
        <v>103</v>
      </c>
      <c r="B7" t="s">
        <v>69</v>
      </c>
      <c r="C7">
        <v>214.95</v>
      </c>
      <c r="D7" s="56">
        <f t="shared" si="1"/>
        <v>2.4780954576896472</v>
      </c>
      <c r="E7">
        <v>93.02</v>
      </c>
      <c r="F7" s="56">
        <f t="shared" si="1"/>
        <v>1.0823830579474052</v>
      </c>
      <c r="G7">
        <v>161.47999999999999</v>
      </c>
      <c r="H7" s="56">
        <f t="shared" ref="H7:H8" si="2">G7/G$19</f>
        <v>1.8890968647636872</v>
      </c>
    </row>
    <row r="8" spans="1:8">
      <c r="A8" t="s">
        <v>104</v>
      </c>
      <c r="B8" t="s">
        <v>69</v>
      </c>
      <c r="C8">
        <v>93.54</v>
      </c>
      <c r="D8" s="56">
        <f t="shared" si="1"/>
        <v>1.0783952040581049</v>
      </c>
      <c r="E8">
        <v>95.6</v>
      </c>
      <c r="F8" s="56">
        <f t="shared" si="1"/>
        <v>1.1124040027926461</v>
      </c>
      <c r="G8">
        <v>89.74</v>
      </c>
      <c r="H8" s="57">
        <f t="shared" si="2"/>
        <v>1.0498362189985961</v>
      </c>
    </row>
    <row r="11" spans="1:8">
      <c r="A11" s="58" t="s">
        <v>115</v>
      </c>
      <c r="B11" t="s">
        <v>108</v>
      </c>
      <c r="C11">
        <v>99.05</v>
      </c>
      <c r="D11" s="57">
        <f>C11/C$3</f>
        <v>1.1419183767581278</v>
      </c>
      <c r="E11">
        <v>101.51</v>
      </c>
      <c r="F11" s="57">
        <f>E11/E$3</f>
        <v>1.1811729113334886</v>
      </c>
      <c r="G11">
        <v>99.4</v>
      </c>
      <c r="H11" s="57">
        <f>G11/G$6</f>
        <v>1.1511291256514189</v>
      </c>
    </row>
    <row r="12" spans="1:8">
      <c r="A12" t="s">
        <v>105</v>
      </c>
      <c r="B12" t="s">
        <v>69</v>
      </c>
      <c r="C12">
        <v>105.86</v>
      </c>
      <c r="D12" s="56">
        <f>C12/C$3</f>
        <v>1.2204288678810238</v>
      </c>
      <c r="E12">
        <v>112.89</v>
      </c>
      <c r="F12" s="56">
        <f>E12/E$3</f>
        <v>1.3135908773562952</v>
      </c>
      <c r="G12">
        <v>103.12</v>
      </c>
      <c r="H12" s="57">
        <f t="shared" ref="H12:H16" si="3">G12/G$6</f>
        <v>1.1942096120440071</v>
      </c>
    </row>
    <row r="13" spans="1:8">
      <c r="A13" t="s">
        <v>106</v>
      </c>
      <c r="B13" t="s">
        <v>108</v>
      </c>
      <c r="C13">
        <v>108.06</v>
      </c>
      <c r="D13" s="56">
        <f t="shared" ref="D13:D15" si="4">C13/C$3</f>
        <v>1.2457920221351166</v>
      </c>
      <c r="E13">
        <v>107.93</v>
      </c>
      <c r="F13" s="56">
        <f t="shared" ref="F13" si="5">E13/E$3</f>
        <v>1.2558761926925763</v>
      </c>
      <c r="H13">
        <f t="shared" si="3"/>
        <v>0</v>
      </c>
    </row>
    <row r="14" spans="1:8">
      <c r="A14" t="s">
        <v>107</v>
      </c>
      <c r="B14" t="s">
        <v>108</v>
      </c>
      <c r="C14">
        <v>108.25</v>
      </c>
      <c r="D14" s="56">
        <f t="shared" si="4"/>
        <v>1.2479824763661518</v>
      </c>
      <c r="E14">
        <v>112.6</v>
      </c>
      <c r="F14" s="56">
        <f t="shared" ref="F14" si="6">E14/E$3</f>
        <v>1.310216430067489</v>
      </c>
      <c r="H14">
        <f t="shared" si="3"/>
        <v>0</v>
      </c>
    </row>
    <row r="15" spans="1:8">
      <c r="A15" t="s">
        <v>109</v>
      </c>
      <c r="B15" t="s">
        <v>69</v>
      </c>
      <c r="C15">
        <v>121.67</v>
      </c>
      <c r="D15" s="56">
        <f t="shared" si="4"/>
        <v>1.4026977173161173</v>
      </c>
      <c r="E15">
        <v>121.67</v>
      </c>
      <c r="F15" s="56">
        <f t="shared" ref="F15" si="7">E15/E$3</f>
        <v>1.4157551780311846</v>
      </c>
      <c r="H15">
        <f t="shared" si="3"/>
        <v>0</v>
      </c>
    </row>
    <row r="16" spans="1:8">
      <c r="A16" t="s">
        <v>117</v>
      </c>
      <c r="F16" s="56"/>
      <c r="G16">
        <v>99.42</v>
      </c>
      <c r="H16" s="57">
        <f t="shared" si="3"/>
        <v>1.1513607411696585</v>
      </c>
    </row>
    <row r="17" spans="1:9">
      <c r="F17" s="56"/>
    </row>
    <row r="19" spans="1:9">
      <c r="A19" s="58" t="s">
        <v>110</v>
      </c>
      <c r="B19" t="s">
        <v>69</v>
      </c>
      <c r="C19">
        <v>93.14</v>
      </c>
      <c r="D19" s="57">
        <f>C19/C$3</f>
        <v>1.0737837214664516</v>
      </c>
      <c r="E19">
        <v>93.55</v>
      </c>
      <c r="F19" s="57">
        <f>E19/E$3</f>
        <v>1.0885501512683267</v>
      </c>
      <c r="G19">
        <v>85.48</v>
      </c>
      <c r="H19" s="57">
        <f>G19/G$6</f>
        <v>0.98992472495657224</v>
      </c>
      <c r="I19">
        <v>90.27</v>
      </c>
    </row>
    <row r="20" spans="1:9">
      <c r="A20" s="58" t="s">
        <v>111</v>
      </c>
      <c r="B20" t="s">
        <v>69</v>
      </c>
      <c r="C20">
        <v>94.45</v>
      </c>
      <c r="D20" s="57">
        <f>C20/C$3</f>
        <v>1.0888863269541158</v>
      </c>
      <c r="E20">
        <v>96.45</v>
      </c>
      <c r="F20" s="57">
        <f>E20/E$3</f>
        <v>1.1222946241563883</v>
      </c>
      <c r="G20">
        <v>86.41</v>
      </c>
      <c r="H20" s="57">
        <f t="shared" ref="H20:H23" si="8">G20/G$6</f>
        <v>1.0006948465547192</v>
      </c>
      <c r="I20">
        <v>92.09</v>
      </c>
    </row>
    <row r="21" spans="1:9">
      <c r="A21" t="s">
        <v>112</v>
      </c>
      <c r="B21" t="s">
        <v>69</v>
      </c>
      <c r="C21">
        <v>97.96</v>
      </c>
      <c r="D21" s="56">
        <f>C21/C$3</f>
        <v>1.1293520866958726</v>
      </c>
      <c r="E21">
        <v>97.43</v>
      </c>
      <c r="F21" s="56">
        <f>E21/E$3</f>
        <v>1.1336979287875264</v>
      </c>
      <c r="H21" s="56">
        <f t="shared" si="8"/>
        <v>0</v>
      </c>
    </row>
    <row r="22" spans="1:9">
      <c r="A22" t="s">
        <v>113</v>
      </c>
      <c r="B22" t="s">
        <v>69</v>
      </c>
      <c r="C22">
        <v>106.69</v>
      </c>
      <c r="D22" s="56">
        <f>C22/C$3</f>
        <v>1.2299976942587043</v>
      </c>
      <c r="E22">
        <v>99.5</v>
      </c>
      <c r="F22" s="56">
        <f>E22/E$3</f>
        <v>1.1577845008145218</v>
      </c>
      <c r="G22">
        <v>91.56</v>
      </c>
      <c r="H22" s="57">
        <f t="shared" si="8"/>
        <v>1.0603358425014477</v>
      </c>
      <c r="I22">
        <v>94</v>
      </c>
    </row>
    <row r="23" spans="1:9">
      <c r="A23" t="s">
        <v>114</v>
      </c>
      <c r="B23" t="s">
        <v>69</v>
      </c>
      <c r="C23">
        <v>103.78</v>
      </c>
      <c r="D23" s="56">
        <f>C23/C$3</f>
        <v>1.196449158404427</v>
      </c>
      <c r="E23">
        <v>100.86</v>
      </c>
      <c r="F23" s="56">
        <f>E23/E$3</f>
        <v>1.1736094949965092</v>
      </c>
      <c r="G23">
        <v>93.4</v>
      </c>
      <c r="H23" s="57">
        <f t="shared" si="8"/>
        <v>1.0816444701795023</v>
      </c>
    </row>
    <row r="26" spans="1:9">
      <c r="A26" s="58" t="s">
        <v>115</v>
      </c>
      <c r="B26" t="s">
        <v>108</v>
      </c>
      <c r="C26">
        <v>121.75</v>
      </c>
      <c r="D26" s="57">
        <f>C26/C$3</f>
        <v>1.4036200138344479</v>
      </c>
      <c r="E26">
        <v>129.68</v>
      </c>
      <c r="F26" s="56">
        <f>E26/E$3</f>
        <v>1.5089597393530372</v>
      </c>
    </row>
    <row r="27" spans="1:9">
      <c r="A27" t="s">
        <v>116</v>
      </c>
      <c r="B27" t="s">
        <v>69</v>
      </c>
      <c r="C27">
        <v>126.24</v>
      </c>
      <c r="D27" s="56">
        <f>C27/C$3</f>
        <v>1.4553839059257552</v>
      </c>
      <c r="E27">
        <v>127.38</v>
      </c>
      <c r="F27" s="56">
        <f>E27/E$3</f>
        <v>1.4821968815452642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9"/>
  <sheetViews>
    <sheetView zoomScale="70" zoomScaleNormal="70" workbookViewId="0">
      <selection activeCell="Q13" sqref="Q13"/>
    </sheetView>
  </sheetViews>
  <sheetFormatPr defaultColWidth="17.140625" defaultRowHeight="12.75" customHeight="1"/>
  <cols>
    <col min="1" max="1" width="10.42578125" style="21" customWidth="1"/>
    <col min="2" max="2" width="16.42578125" style="21" customWidth="1"/>
    <col min="3" max="3" width="35.710937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44.1" customHeigh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36">
      <c r="A4" s="22" t="s">
        <v>28</v>
      </c>
      <c r="B4" s="23" t="s">
        <v>11</v>
      </c>
      <c r="C4" s="24" t="s">
        <v>8</v>
      </c>
      <c r="D4" s="24" t="s">
        <v>25</v>
      </c>
      <c r="E4" s="24" t="s">
        <v>85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</row>
    <row r="5" spans="1:19" ht="18">
      <c r="A5" s="44">
        <v>1</v>
      </c>
      <c r="B5" s="50"/>
      <c r="C5" s="50"/>
      <c r="D5" s="51"/>
      <c r="E5" s="51"/>
      <c r="F5" s="46"/>
      <c r="G5" s="46"/>
      <c r="H5" s="47"/>
      <c r="I5" s="46"/>
      <c r="J5" s="46"/>
      <c r="K5" s="47"/>
      <c r="L5" s="46"/>
      <c r="M5" s="46"/>
      <c r="N5" s="47"/>
      <c r="O5" s="46"/>
      <c r="P5" s="46"/>
      <c r="Q5" s="47"/>
      <c r="R5" s="48"/>
      <c r="S5" s="49"/>
    </row>
    <row r="6" spans="1:19" s="34" customFormat="1" ht="26.65" customHeight="1">
      <c r="A6" s="35" t="s">
        <v>35</v>
      </c>
      <c r="D6" s="36"/>
      <c r="E6" s="36"/>
      <c r="F6" s="37">
        <f>K1M!F$17</f>
        <v>86.74</v>
      </c>
      <c r="G6" s="37"/>
      <c r="H6" s="38"/>
      <c r="I6" s="37">
        <f>K1M!I$17</f>
        <v>85.94</v>
      </c>
      <c r="J6" s="37"/>
      <c r="K6" s="38"/>
      <c r="L6" s="37">
        <f>K1M!L$17</f>
        <v>92.66</v>
      </c>
      <c r="M6" s="37"/>
      <c r="N6" s="38"/>
      <c r="O6" s="37">
        <f>K1M!O$17</f>
        <v>90.6</v>
      </c>
      <c r="P6" s="37"/>
      <c r="Q6" s="38"/>
      <c r="R6" s="38"/>
      <c r="S6" s="39"/>
    </row>
    <row r="7" spans="1:19" s="34" customFormat="1" ht="26.65" customHeight="1">
      <c r="A7" s="35" t="s">
        <v>75</v>
      </c>
      <c r="B7" s="40">
        <v>149</v>
      </c>
      <c r="C7" s="108" t="s">
        <v>88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9" spans="1:19" ht="28.15" customHeight="1">
      <c r="A9" s="100" t="s">
        <v>36</v>
      </c>
      <c r="B9" s="101"/>
      <c r="C9" s="101"/>
      <c r="D9" s="101"/>
      <c r="E9" s="101"/>
      <c r="F9" s="102"/>
      <c r="G9" s="102"/>
      <c r="H9" s="103"/>
      <c r="I9" s="102"/>
      <c r="J9" s="102"/>
      <c r="K9" s="103"/>
      <c r="L9" s="102"/>
      <c r="M9" s="102"/>
      <c r="N9" s="103"/>
      <c r="O9" s="102"/>
      <c r="P9" s="102"/>
      <c r="Q9" s="103"/>
      <c r="R9" s="103"/>
      <c r="S9" s="104"/>
    </row>
  </sheetData>
  <mergeCells count="5">
    <mergeCell ref="A1:S1"/>
    <mergeCell ref="A2:S2"/>
    <mergeCell ref="A3:S3"/>
    <mergeCell ref="A9:S9"/>
    <mergeCell ref="C7:S7"/>
  </mergeCells>
  <conditionalFormatting sqref="J5 M5 P5 G5">
    <cfRule type="cellIs" dxfId="55" priority="521" stopIfTrue="1" operator="lessThan">
      <formula>$B$7</formula>
    </cfRule>
  </conditionalFormatting>
  <pageMargins left="0.75" right="0.75" top="1" bottom="1" header="0.5" footer="0.5"/>
  <pageSetup paperSize="9" scale="56" orientation="landscape" verticalDpi="300" r:id="rId1"/>
  <headerFooter alignWithMargins="0">
    <oddHeader xml:space="preserve">&amp;C&amp;"Myriad Pro,Regular"&amp;18
</oddHeader>
  </headerFooter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9"/>
  <sheetViews>
    <sheetView zoomScale="70" zoomScaleNormal="70" workbookViewId="0">
      <selection activeCell="N6" sqref="N6"/>
    </sheetView>
  </sheetViews>
  <sheetFormatPr defaultColWidth="17.140625" defaultRowHeight="12.75" customHeight="1"/>
  <cols>
    <col min="1" max="1" width="10.42578125" style="21" customWidth="1"/>
    <col min="2" max="2" width="16.42578125" style="21" customWidth="1"/>
    <col min="3" max="3" width="35.7109375" style="21" customWidth="1"/>
    <col min="4" max="4" width="6.85546875" style="41" customWidth="1"/>
    <col min="5" max="18" width="11.42578125" style="21" customWidth="1"/>
    <col min="19" max="16384" width="17.140625" style="21"/>
  </cols>
  <sheetData>
    <row r="1" spans="1:19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9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9" ht="44.1" customHeigh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9" ht="36">
      <c r="A4" s="22" t="s">
        <v>28</v>
      </c>
      <c r="B4" s="23" t="s">
        <v>11</v>
      </c>
      <c r="C4" s="24" t="s">
        <v>8</v>
      </c>
      <c r="D4" s="24" t="s">
        <v>25</v>
      </c>
      <c r="E4" s="25" t="s">
        <v>3</v>
      </c>
      <c r="F4" s="25" t="s">
        <v>17</v>
      </c>
      <c r="G4" s="26" t="s">
        <v>21</v>
      </c>
      <c r="H4" s="25" t="s">
        <v>7</v>
      </c>
      <c r="I4" s="25" t="s">
        <v>18</v>
      </c>
      <c r="J4" s="26" t="s">
        <v>22</v>
      </c>
      <c r="K4" s="25" t="s">
        <v>4</v>
      </c>
      <c r="L4" s="25" t="s">
        <v>19</v>
      </c>
      <c r="M4" s="26" t="s">
        <v>23</v>
      </c>
      <c r="N4" s="25" t="s">
        <v>6</v>
      </c>
      <c r="O4" s="25" t="s">
        <v>20</v>
      </c>
      <c r="P4" s="26" t="s">
        <v>24</v>
      </c>
      <c r="Q4" s="26" t="s">
        <v>27</v>
      </c>
      <c r="R4" s="27" t="s">
        <v>26</v>
      </c>
    </row>
    <row r="5" spans="1:19" ht="18">
      <c r="A5" s="44">
        <v>1</v>
      </c>
      <c r="B5" s="50">
        <f>'2019 OKC Results'!C37</f>
        <v>0</v>
      </c>
      <c r="C5" s="50">
        <f>'2019 OKC Results'!D37</f>
        <v>0</v>
      </c>
      <c r="D5" s="51">
        <f>'2019 OKC Results'!F37</f>
        <v>0</v>
      </c>
      <c r="E5" s="46">
        <f>'2019 OKC Results'!G37</f>
        <v>0</v>
      </c>
      <c r="F5" s="46">
        <f>(E5/E$6)*100</f>
        <v>0</v>
      </c>
      <c r="G5" s="47">
        <f>IF((RANK(E5,E$5:E$5,1)=1),0,RANK(E5,E$5:E$5,1))</f>
        <v>0</v>
      </c>
      <c r="H5" s="46">
        <f>'2019 OKC Results'!H37</f>
        <v>0</v>
      </c>
      <c r="I5" s="46">
        <f>(H5/H$6)*100</f>
        <v>0</v>
      </c>
      <c r="J5" s="47">
        <f>IF((RANK(H5,H$5:H$5,1)=1),0,RANK(H5,H$5:H$5,1))</f>
        <v>0</v>
      </c>
      <c r="K5" s="46">
        <f>'2019 OKC Results'!I37</f>
        <v>0</v>
      </c>
      <c r="L5" s="46">
        <f>(K5/K$6)*100</f>
        <v>0</v>
      </c>
      <c r="M5" s="47">
        <f>IF((RANK(K5,K$5:K$5,1)=1),0,RANK(K5,K$5:K$5,1))</f>
        <v>0</v>
      </c>
      <c r="N5" s="46">
        <f>'2019 OKC Results'!J37</f>
        <v>0</v>
      </c>
      <c r="O5" s="46">
        <f>(N5/N$6)*100</f>
        <v>0</v>
      </c>
      <c r="P5" s="47">
        <f>IF((RANK(N5,N$5:N$5,1)=1),0,RANK(N5,N$5:N$5,1))</f>
        <v>0</v>
      </c>
      <c r="Q5" s="48">
        <f>IF((COUNT(F5,I5,L5,O5)&gt;3),(SUM(F5,I5,L5,O5)-MAX(F5,I5,L5,O5)),SUM(F5,I5,L5,O5))</f>
        <v>0</v>
      </c>
      <c r="R5" s="49">
        <f>IF((COUNT(G5,J5,M5,P5)&gt;3),(SUM(G5,J5,M5,P5)-MAX(G5,J5,M5,P5)),SUM(G5,J5,M5,P5))</f>
        <v>0</v>
      </c>
    </row>
    <row r="6" spans="1:19" s="34" customFormat="1" ht="26.65" customHeight="1">
      <c r="A6" s="35" t="s">
        <v>35</v>
      </c>
      <c r="D6" s="36"/>
      <c r="E6" s="37">
        <f>'K1M (JR)'!$F$12</f>
        <v>110.66</v>
      </c>
      <c r="F6" s="37"/>
      <c r="G6" s="38"/>
      <c r="H6" s="37">
        <f>'K1M (JR)'!$I$12</f>
        <v>100.9</v>
      </c>
      <c r="I6" s="37"/>
      <c r="J6" s="38"/>
      <c r="K6" s="37">
        <f>'C1M (U23)'!L8</f>
        <v>101.5</v>
      </c>
      <c r="L6" s="37"/>
      <c r="M6" s="38"/>
      <c r="N6" s="37">
        <f>'C1M (U23)'!O8</f>
        <v>110.45</v>
      </c>
      <c r="O6" s="37"/>
      <c r="P6" s="38"/>
      <c r="Q6" s="38"/>
      <c r="R6" s="39"/>
    </row>
    <row r="7" spans="1:19" s="34" customFormat="1" ht="26.65" customHeight="1">
      <c r="A7" s="35" t="s">
        <v>59</v>
      </c>
      <c r="B7" s="40">
        <v>152</v>
      </c>
      <c r="C7" s="108" t="s">
        <v>89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9" spans="1:19" ht="28.15" customHeight="1">
      <c r="A9" s="100" t="s">
        <v>36</v>
      </c>
      <c r="B9" s="101"/>
      <c r="C9" s="101"/>
      <c r="D9" s="101"/>
      <c r="E9" s="102"/>
      <c r="F9" s="102"/>
      <c r="G9" s="103"/>
      <c r="H9" s="102"/>
      <c r="I9" s="102"/>
      <c r="J9" s="103"/>
      <c r="K9" s="102"/>
      <c r="L9" s="102"/>
      <c r="M9" s="103"/>
      <c r="N9" s="102"/>
      <c r="O9" s="102"/>
      <c r="P9" s="103"/>
      <c r="Q9" s="103"/>
      <c r="R9" s="104"/>
    </row>
  </sheetData>
  <mergeCells count="5">
    <mergeCell ref="A1:R1"/>
    <mergeCell ref="A2:R2"/>
    <mergeCell ref="A3:R3"/>
    <mergeCell ref="A9:R9"/>
    <mergeCell ref="C7:S7"/>
  </mergeCells>
  <conditionalFormatting sqref="I5 L5 F5">
    <cfRule type="cellIs" dxfId="30" priority="2" stopIfTrue="1" operator="lessThan">
      <formula>$B$7</formula>
    </cfRule>
  </conditionalFormatting>
  <conditionalFormatting sqref="O5">
    <cfRule type="cellIs" dxfId="29" priority="1" stopIfTrue="1" operator="lessThan">
      <formula>$B$7</formula>
    </cfRule>
  </conditionalFormatting>
  <pageMargins left="0.75" right="0.75" top="1" bottom="1" header="0.5" footer="0.5"/>
  <pageSetup paperSize="9" scale="57" orientation="landscape" verticalDpi="300" r:id="rId1"/>
  <headerFooter alignWithMargins="0">
    <oddHeader xml:space="preserve">&amp;C&amp;"Myriad Pro,Regular"&amp;18
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5FC0B-8103-4646-B273-15612A6975CF}">
  <dimension ref="B1:M62"/>
  <sheetViews>
    <sheetView view="pageBreakPreview" topLeftCell="B1" zoomScale="60" zoomScaleNormal="90" workbookViewId="0">
      <pane ySplit="1" topLeftCell="A2" activePane="bottomLeft" state="frozen"/>
      <selection pane="bottomLeft" activeCell="Q53" sqref="Q53"/>
    </sheetView>
  </sheetViews>
  <sheetFormatPr defaultColWidth="8.85546875" defaultRowHeight="15"/>
  <cols>
    <col min="1" max="1" width="8.85546875" style="77"/>
    <col min="2" max="2" width="23.7109375" style="77" customWidth="1"/>
    <col min="3" max="3" width="19" style="77" customWidth="1"/>
    <col min="4" max="4" width="9.42578125" style="77" customWidth="1"/>
    <col min="5" max="5" width="11.7109375" style="77" customWidth="1"/>
    <col min="6" max="13" width="11.7109375" style="82" customWidth="1"/>
    <col min="14" max="16384" width="8.85546875" style="77"/>
  </cols>
  <sheetData>
    <row r="1" spans="2:13" s="69" customFormat="1" ht="30">
      <c r="B1" s="67" t="s">
        <v>5</v>
      </c>
      <c r="C1" s="67" t="s">
        <v>2</v>
      </c>
      <c r="D1" s="67" t="s">
        <v>29</v>
      </c>
      <c r="E1" s="67" t="s">
        <v>141</v>
      </c>
      <c r="F1" s="68" t="s">
        <v>142</v>
      </c>
      <c r="G1" s="68" t="s">
        <v>143</v>
      </c>
      <c r="H1" s="68" t="s">
        <v>144</v>
      </c>
      <c r="I1" s="68" t="s">
        <v>145</v>
      </c>
      <c r="J1" s="68" t="s">
        <v>146</v>
      </c>
      <c r="K1" s="68" t="s">
        <v>147</v>
      </c>
      <c r="L1" s="68" t="s">
        <v>148</v>
      </c>
      <c r="M1" s="68" t="s">
        <v>149</v>
      </c>
    </row>
    <row r="2" spans="2:13">
      <c r="B2" s="70" t="s">
        <v>79</v>
      </c>
      <c r="C2" s="71" t="s">
        <v>78</v>
      </c>
      <c r="D2" s="72" t="s">
        <v>0</v>
      </c>
      <c r="E2" s="73" t="s">
        <v>37</v>
      </c>
      <c r="F2" s="73">
        <v>177.1</v>
      </c>
      <c r="G2" s="74">
        <f>F2/101.62</f>
        <v>1.7427671718165714</v>
      </c>
      <c r="H2" s="73">
        <v>249.02</v>
      </c>
      <c r="I2" s="74">
        <f>H2/99.34</f>
        <v>2.5067445137910207</v>
      </c>
      <c r="J2" s="75">
        <v>138.07</v>
      </c>
      <c r="K2" s="76">
        <f>J2/107.39</f>
        <v>1.2856876804171711</v>
      </c>
      <c r="L2" s="75">
        <v>141.88999999999999</v>
      </c>
      <c r="M2" s="76">
        <f>L2/112.08</f>
        <v>1.2659707351891505</v>
      </c>
    </row>
    <row r="3" spans="2:13">
      <c r="B3" s="70" t="s">
        <v>150</v>
      </c>
      <c r="C3" s="71" t="s">
        <v>151</v>
      </c>
      <c r="D3" s="72" t="s">
        <v>0</v>
      </c>
      <c r="E3" s="73" t="s">
        <v>37</v>
      </c>
      <c r="F3" s="73">
        <v>203.17</v>
      </c>
      <c r="G3" s="74">
        <f t="shared" ref="G3:G5" si="0">F3/101.62</f>
        <v>1.9993111592206256</v>
      </c>
      <c r="H3" s="73">
        <v>171.29</v>
      </c>
      <c r="I3" s="74">
        <f t="shared" ref="I3:I5" si="1">H3/99.34</f>
        <v>1.7242802496476746</v>
      </c>
      <c r="J3" s="75">
        <v>213.07</v>
      </c>
      <c r="K3" s="74">
        <f t="shared" ref="K3:K5" si="2">J3/107.39</f>
        <v>1.9840767296768786</v>
      </c>
      <c r="L3" s="78">
        <v>180.6</v>
      </c>
      <c r="M3" s="74">
        <f t="shared" ref="M3:M5" si="3">L3/112.08</f>
        <v>1.6113490364025695</v>
      </c>
    </row>
    <row r="4" spans="2:13">
      <c r="B4" s="79" t="s">
        <v>41</v>
      </c>
      <c r="C4" s="80" t="s">
        <v>40</v>
      </c>
      <c r="D4" s="72" t="s">
        <v>0</v>
      </c>
      <c r="E4" s="78" t="s">
        <v>37</v>
      </c>
      <c r="F4" s="78">
        <v>116.57</v>
      </c>
      <c r="G4" s="76">
        <f t="shared" si="0"/>
        <v>1.147116709309191</v>
      </c>
      <c r="H4" s="78">
        <v>109.45</v>
      </c>
      <c r="I4" s="76">
        <f t="shared" si="1"/>
        <v>1.1017716931749546</v>
      </c>
      <c r="J4" s="75">
        <v>132.21</v>
      </c>
      <c r="K4" s="76">
        <f t="shared" si="2"/>
        <v>1.2311202160350125</v>
      </c>
      <c r="L4" s="78">
        <v>126.15</v>
      </c>
      <c r="M4" s="76">
        <f t="shared" si="3"/>
        <v>1.1255353319057817</v>
      </c>
    </row>
    <row r="5" spans="2:13" ht="18" customHeight="1">
      <c r="B5" s="79" t="s">
        <v>41</v>
      </c>
      <c r="C5" s="80" t="s">
        <v>80</v>
      </c>
      <c r="D5" s="72" t="s">
        <v>0</v>
      </c>
      <c r="E5" s="78" t="s">
        <v>37</v>
      </c>
      <c r="F5" s="78">
        <v>131.97999999999999</v>
      </c>
      <c r="G5" s="76">
        <f t="shared" si="0"/>
        <v>1.2987600865971265</v>
      </c>
      <c r="H5" s="78">
        <v>131.88</v>
      </c>
      <c r="I5" s="74">
        <f t="shared" si="1"/>
        <v>1.3275619085967383</v>
      </c>
      <c r="J5" s="75">
        <v>163.85</v>
      </c>
      <c r="K5" s="74">
        <f t="shared" si="2"/>
        <v>1.5257472762827078</v>
      </c>
      <c r="L5" s="75">
        <v>163.81</v>
      </c>
      <c r="M5" s="74">
        <f t="shared" si="3"/>
        <v>1.4615453247680228</v>
      </c>
    </row>
    <row r="6" spans="2:13" ht="18" customHeight="1">
      <c r="F6" s="77"/>
      <c r="G6" s="77"/>
      <c r="H6" s="77"/>
      <c r="I6" s="77"/>
      <c r="J6" s="77"/>
      <c r="K6" s="77"/>
      <c r="L6" s="77"/>
      <c r="M6" s="77"/>
    </row>
    <row r="7" spans="2:13">
      <c r="B7" s="79" t="s">
        <v>42</v>
      </c>
      <c r="C7" s="80" t="s">
        <v>44</v>
      </c>
      <c r="D7" s="72" t="s">
        <v>0</v>
      </c>
      <c r="E7" s="78" t="s">
        <v>45</v>
      </c>
      <c r="F7" s="78">
        <v>109.05</v>
      </c>
      <c r="G7" s="74">
        <f t="shared" ref="G7:G44" si="4">F7/91.45</f>
        <v>1.1924548933843631</v>
      </c>
      <c r="H7" s="78">
        <v>108.22</v>
      </c>
      <c r="I7" s="74">
        <f t="shared" ref="I7:I44" si="5">H7/86.69</f>
        <v>1.2483562117891338</v>
      </c>
      <c r="J7" s="75">
        <v>121.27</v>
      </c>
      <c r="K7" s="74">
        <f t="shared" ref="K7:K44" si="6">J7/96.63</f>
        <v>1.2549932733105662</v>
      </c>
      <c r="L7" s="78">
        <v>112.74</v>
      </c>
      <c r="M7" s="81">
        <f t="shared" ref="M7:M44" si="7">L7/98.14</f>
        <v>1.1487670674546566</v>
      </c>
    </row>
    <row r="8" spans="2:13">
      <c r="B8" s="79" t="s">
        <v>152</v>
      </c>
      <c r="C8" s="80" t="s">
        <v>153</v>
      </c>
      <c r="D8" s="72" t="s">
        <v>0</v>
      </c>
      <c r="E8" s="78" t="s">
        <v>45</v>
      </c>
      <c r="F8" s="78">
        <v>182.68</v>
      </c>
      <c r="G8" s="74">
        <f t="shared" si="4"/>
        <v>1.9975943138326955</v>
      </c>
      <c r="H8" s="78">
        <v>210.63</v>
      </c>
      <c r="I8" s="74">
        <f t="shared" si="5"/>
        <v>2.4296920059983851</v>
      </c>
      <c r="J8" s="75">
        <v>125.01</v>
      </c>
      <c r="K8" s="74">
        <f t="shared" si="6"/>
        <v>1.2936976094380628</v>
      </c>
      <c r="L8" s="75">
        <v>123.78</v>
      </c>
      <c r="M8" s="81">
        <f t="shared" si="7"/>
        <v>1.2612594253107805</v>
      </c>
    </row>
    <row r="9" spans="2:13" ht="16.5" customHeight="1">
      <c r="B9" s="79" t="s">
        <v>154</v>
      </c>
      <c r="C9" s="80" t="s">
        <v>155</v>
      </c>
      <c r="D9" s="72" t="s">
        <v>0</v>
      </c>
      <c r="E9" s="78" t="s">
        <v>45</v>
      </c>
      <c r="F9" s="78">
        <v>235.96</v>
      </c>
      <c r="G9" s="74">
        <f t="shared" si="4"/>
        <v>2.5802077638053582</v>
      </c>
      <c r="H9" s="78">
        <v>128.62</v>
      </c>
      <c r="I9" s="74">
        <f t="shared" si="5"/>
        <v>1.4836774714499943</v>
      </c>
      <c r="J9" s="75">
        <v>217.26</v>
      </c>
      <c r="K9" s="74">
        <f t="shared" si="6"/>
        <v>2.2483700714063954</v>
      </c>
      <c r="L9" s="75">
        <v>252.17</v>
      </c>
      <c r="M9" s="81">
        <f t="shared" si="7"/>
        <v>2.5694925616466273</v>
      </c>
    </row>
    <row r="10" spans="2:13">
      <c r="G10" s="74"/>
      <c r="I10" s="74"/>
      <c r="K10" s="74"/>
      <c r="M10" s="81"/>
    </row>
    <row r="11" spans="2:13">
      <c r="B11" s="83" t="s">
        <v>42</v>
      </c>
      <c r="C11" s="83" t="s">
        <v>44</v>
      </c>
      <c r="D11" s="84" t="s">
        <v>10</v>
      </c>
      <c r="E11" s="84" t="s">
        <v>45</v>
      </c>
      <c r="F11" s="84">
        <v>127.81</v>
      </c>
      <c r="G11" s="74">
        <f t="shared" si="4"/>
        <v>1.3975943138326954</v>
      </c>
      <c r="H11" s="84">
        <v>117.29</v>
      </c>
      <c r="I11" s="74">
        <f t="shared" si="5"/>
        <v>1.3529818894912908</v>
      </c>
      <c r="J11" s="84">
        <v>138.57</v>
      </c>
      <c r="K11" s="74">
        <f t="shared" si="6"/>
        <v>1.4340266997826763</v>
      </c>
      <c r="L11" s="84">
        <v>117.58</v>
      </c>
      <c r="M11" s="81">
        <f t="shared" si="7"/>
        <v>1.198084369268392</v>
      </c>
    </row>
    <row r="12" spans="2:13">
      <c r="G12" s="74"/>
      <c r="I12" s="74"/>
      <c r="K12" s="74"/>
      <c r="M12" s="81"/>
    </row>
    <row r="13" spans="2:13">
      <c r="B13" s="83" t="s">
        <v>121</v>
      </c>
      <c r="C13" s="83" t="s">
        <v>93</v>
      </c>
      <c r="D13" s="84" t="s">
        <v>9</v>
      </c>
      <c r="E13" s="84" t="s">
        <v>37</v>
      </c>
      <c r="F13" s="84">
        <v>117.65</v>
      </c>
      <c r="G13" s="74">
        <f>F13/101.62</f>
        <v>1.1577445384766778</v>
      </c>
      <c r="H13" s="84">
        <v>130.06</v>
      </c>
      <c r="I13" s="74">
        <f>H13/99.34</f>
        <v>1.3092409905375477</v>
      </c>
      <c r="J13" s="85">
        <v>121.72</v>
      </c>
      <c r="K13" s="74">
        <f>J13/107.39</f>
        <v>1.1334388676785547</v>
      </c>
      <c r="L13" s="86">
        <v>130.5</v>
      </c>
      <c r="M13" s="81">
        <f>L13/112.08</f>
        <v>1.1643468950749465</v>
      </c>
    </row>
    <row r="14" spans="2:13">
      <c r="B14" s="83" t="s">
        <v>156</v>
      </c>
      <c r="C14" s="83" t="s">
        <v>157</v>
      </c>
      <c r="D14" s="84" t="s">
        <v>9</v>
      </c>
      <c r="E14" s="84" t="s">
        <v>37</v>
      </c>
      <c r="F14" s="84">
        <v>125.28</v>
      </c>
      <c r="G14" s="74">
        <f t="shared" ref="G14:G17" si="8">F14/101.62</f>
        <v>1.2328281834284589</v>
      </c>
      <c r="H14" s="84">
        <v>113.43</v>
      </c>
      <c r="I14" s="74">
        <f t="shared" ref="I14:I17" si="9">H14/99.34</f>
        <v>1.1418361183813168</v>
      </c>
      <c r="J14" s="85">
        <v>135.38999999999999</v>
      </c>
      <c r="K14" s="74">
        <f t="shared" ref="K14:K17" si="10">J14/107.39</f>
        <v>1.260731911723624</v>
      </c>
      <c r="L14" s="85">
        <v>146.87</v>
      </c>
      <c r="M14" s="81">
        <f t="shared" ref="M14:M17" si="11">L14/112.08</f>
        <v>1.3104032833690222</v>
      </c>
    </row>
    <row r="15" spans="2:13">
      <c r="B15" s="83" t="s">
        <v>46</v>
      </c>
      <c r="C15" s="83" t="s">
        <v>57</v>
      </c>
      <c r="D15" s="84" t="s">
        <v>9</v>
      </c>
      <c r="E15" s="84" t="s">
        <v>37</v>
      </c>
      <c r="F15" s="84">
        <v>121.33</v>
      </c>
      <c r="G15" s="74">
        <f t="shared" si="8"/>
        <v>1.1939578823066326</v>
      </c>
      <c r="H15" s="84">
        <v>116.68</v>
      </c>
      <c r="I15" s="74">
        <f t="shared" si="9"/>
        <v>1.1745520434870143</v>
      </c>
      <c r="J15" s="85">
        <v>134.91999999999999</v>
      </c>
      <c r="K15" s="74">
        <f t="shared" si="10"/>
        <v>1.2563553403482632</v>
      </c>
      <c r="L15" s="86">
        <v>126.13</v>
      </c>
      <c r="M15" s="81">
        <f t="shared" si="11"/>
        <v>1.1253568879371878</v>
      </c>
    </row>
    <row r="16" spans="2:13">
      <c r="B16" s="83" t="s">
        <v>150</v>
      </c>
      <c r="C16" s="83" t="s">
        <v>53</v>
      </c>
      <c r="D16" s="84" t="s">
        <v>9</v>
      </c>
      <c r="E16" s="84" t="s">
        <v>37</v>
      </c>
      <c r="F16" s="84">
        <v>160.04</v>
      </c>
      <c r="G16" s="74">
        <f t="shared" si="8"/>
        <v>1.5748868333005313</v>
      </c>
      <c r="H16" s="84">
        <v>146.16999999999999</v>
      </c>
      <c r="I16" s="74">
        <f t="shared" si="9"/>
        <v>1.4714113146768673</v>
      </c>
      <c r="J16" s="85">
        <v>999</v>
      </c>
      <c r="K16" s="74">
        <f t="shared" si="10"/>
        <v>9.302542136139305</v>
      </c>
      <c r="L16" s="85">
        <v>999</v>
      </c>
      <c r="M16" s="81">
        <f t="shared" si="11"/>
        <v>8.9132762312633833</v>
      </c>
    </row>
    <row r="17" spans="2:13">
      <c r="B17" s="83" t="s">
        <v>158</v>
      </c>
      <c r="C17" s="83" t="s">
        <v>159</v>
      </c>
      <c r="D17" s="84" t="s">
        <v>9</v>
      </c>
      <c r="E17" s="84" t="s">
        <v>37</v>
      </c>
      <c r="F17" s="84">
        <v>600.98</v>
      </c>
      <c r="G17" s="74">
        <f t="shared" si="8"/>
        <v>5.9139933084038576</v>
      </c>
      <c r="H17" s="84">
        <v>195.31</v>
      </c>
      <c r="I17" s="74">
        <f t="shared" si="9"/>
        <v>1.9660761022750151</v>
      </c>
      <c r="J17" s="85">
        <v>263.81</v>
      </c>
      <c r="K17" s="74">
        <f t="shared" si="10"/>
        <v>2.4565602011360461</v>
      </c>
      <c r="L17" s="85">
        <v>999</v>
      </c>
      <c r="M17" s="81">
        <f t="shared" si="11"/>
        <v>8.9132762312633833</v>
      </c>
    </row>
    <row r="18" spans="2:13">
      <c r="F18" s="77"/>
      <c r="G18" s="77"/>
      <c r="H18" s="77"/>
      <c r="I18" s="77"/>
      <c r="J18" s="77"/>
      <c r="K18" s="77"/>
      <c r="L18" s="77"/>
      <c r="M18" s="77"/>
    </row>
    <row r="19" spans="2:13">
      <c r="B19" s="83" t="s">
        <v>160</v>
      </c>
      <c r="C19" s="83" t="s">
        <v>161</v>
      </c>
      <c r="D19" s="84" t="s">
        <v>1</v>
      </c>
      <c r="E19" s="84" t="s">
        <v>37</v>
      </c>
      <c r="F19" s="85">
        <v>127.22</v>
      </c>
      <c r="G19" s="74">
        <f>F19/101.62</f>
        <v>1.2519189135996851</v>
      </c>
      <c r="H19" s="85">
        <v>113.22</v>
      </c>
      <c r="I19" s="74">
        <f>H19/99.34</f>
        <v>1.1397221662975638</v>
      </c>
      <c r="J19" s="85">
        <v>182.47</v>
      </c>
      <c r="K19" s="74">
        <f>J19/107.39</f>
        <v>1.6991339975789179</v>
      </c>
      <c r="L19" s="85">
        <v>153.29</v>
      </c>
      <c r="M19" s="81">
        <f>L19/112.08</f>
        <v>1.3676837972876517</v>
      </c>
    </row>
    <row r="20" spans="2:13">
      <c r="B20" s="83" t="s">
        <v>162</v>
      </c>
      <c r="C20" s="83" t="s">
        <v>163</v>
      </c>
      <c r="D20" s="84" t="s">
        <v>1</v>
      </c>
      <c r="E20" s="84" t="s">
        <v>37</v>
      </c>
      <c r="F20" s="85">
        <v>137.93</v>
      </c>
      <c r="G20" s="74">
        <f t="shared" ref="G20:G37" si="12">F20/101.62</f>
        <v>1.3573115528439283</v>
      </c>
      <c r="H20" s="85">
        <v>289.06</v>
      </c>
      <c r="I20" s="74">
        <f t="shared" ref="I20:I37" si="13">H20/99.34</f>
        <v>2.9098047110932153</v>
      </c>
      <c r="J20" s="85">
        <v>999</v>
      </c>
      <c r="K20" s="74">
        <f t="shared" ref="K20:K37" si="14">J20/107.39</f>
        <v>9.302542136139305</v>
      </c>
      <c r="L20" s="85">
        <v>999</v>
      </c>
      <c r="M20" s="81">
        <f t="shared" ref="M20:M37" si="15">L20/112.08</f>
        <v>8.9132762312633833</v>
      </c>
    </row>
    <row r="21" spans="2:13">
      <c r="B21" s="83" t="s">
        <v>164</v>
      </c>
      <c r="C21" s="83" t="s">
        <v>165</v>
      </c>
      <c r="D21" s="84" t="s">
        <v>1</v>
      </c>
      <c r="E21" s="84" t="s">
        <v>37</v>
      </c>
      <c r="F21" s="85">
        <v>184.05</v>
      </c>
      <c r="G21" s="74">
        <f t="shared" si="12"/>
        <v>1.8111592206258611</v>
      </c>
      <c r="H21" s="85">
        <v>128.51</v>
      </c>
      <c r="I21" s="74">
        <f t="shared" si="13"/>
        <v>1.2936380108717533</v>
      </c>
      <c r="J21" s="85">
        <v>203.79</v>
      </c>
      <c r="K21" s="74">
        <f t="shared" si="14"/>
        <v>1.8976627246484774</v>
      </c>
      <c r="L21" s="85">
        <v>206.31</v>
      </c>
      <c r="M21" s="81">
        <f t="shared" si="15"/>
        <v>1.8407387580299786</v>
      </c>
    </row>
    <row r="22" spans="2:13">
      <c r="B22" s="83" t="s">
        <v>166</v>
      </c>
      <c r="C22" s="83" t="s">
        <v>167</v>
      </c>
      <c r="D22" s="84" t="s">
        <v>1</v>
      </c>
      <c r="E22" s="84" t="s">
        <v>37</v>
      </c>
      <c r="F22" s="85">
        <v>102.52</v>
      </c>
      <c r="G22" s="74">
        <f t="shared" si="12"/>
        <v>1.0088565243062388</v>
      </c>
      <c r="H22" s="85">
        <v>113.11</v>
      </c>
      <c r="I22" s="74">
        <f t="shared" si="13"/>
        <v>1.1386148580632172</v>
      </c>
      <c r="J22" s="85">
        <v>107.39</v>
      </c>
      <c r="K22" s="74">
        <f t="shared" si="14"/>
        <v>1</v>
      </c>
      <c r="L22" s="85">
        <v>112.08</v>
      </c>
      <c r="M22" s="81">
        <f t="shared" si="15"/>
        <v>1</v>
      </c>
    </row>
    <row r="23" spans="2:13">
      <c r="B23" s="83" t="s">
        <v>168</v>
      </c>
      <c r="C23" s="83" t="s">
        <v>169</v>
      </c>
      <c r="D23" s="84" t="s">
        <v>1</v>
      </c>
      <c r="E23" s="84" t="s">
        <v>37</v>
      </c>
      <c r="F23" s="85">
        <v>111.92</v>
      </c>
      <c r="G23" s="74">
        <f t="shared" si="12"/>
        <v>1.1013580003936232</v>
      </c>
      <c r="H23" s="85">
        <v>113.63</v>
      </c>
      <c r="I23" s="74">
        <f t="shared" si="13"/>
        <v>1.1438494060801287</v>
      </c>
      <c r="J23" s="85">
        <v>130.37</v>
      </c>
      <c r="K23" s="74">
        <f t="shared" si="14"/>
        <v>1.2139864046931745</v>
      </c>
      <c r="L23" s="85">
        <v>124.15</v>
      </c>
      <c r="M23" s="81">
        <f t="shared" si="15"/>
        <v>1.1076909350463955</v>
      </c>
    </row>
    <row r="24" spans="2:13">
      <c r="B24" s="83" t="s">
        <v>170</v>
      </c>
      <c r="C24" s="83" t="s">
        <v>171</v>
      </c>
      <c r="D24" s="84" t="s">
        <v>1</v>
      </c>
      <c r="E24" s="84" t="s">
        <v>37</v>
      </c>
      <c r="F24" s="85">
        <v>127.75</v>
      </c>
      <c r="G24" s="74">
        <f t="shared" si="12"/>
        <v>1.2571344223578036</v>
      </c>
      <c r="H24" s="85">
        <v>178.63</v>
      </c>
      <c r="I24" s="74">
        <f t="shared" si="13"/>
        <v>1.7981679081940809</v>
      </c>
      <c r="J24" s="85">
        <v>148.32</v>
      </c>
      <c r="K24" s="74">
        <f t="shared" si="14"/>
        <v>1.3811341838159976</v>
      </c>
      <c r="L24" s="85">
        <v>156.44999999999999</v>
      </c>
      <c r="M24" s="81">
        <f t="shared" si="15"/>
        <v>1.3958779443254816</v>
      </c>
    </row>
    <row r="25" spans="2:13">
      <c r="B25" s="83" t="s">
        <v>172</v>
      </c>
      <c r="C25" s="83" t="s">
        <v>96</v>
      </c>
      <c r="D25" s="84" t="s">
        <v>1</v>
      </c>
      <c r="E25" s="84" t="s">
        <v>37</v>
      </c>
      <c r="F25" s="85">
        <v>390.12</v>
      </c>
      <c r="G25" s="74">
        <f t="shared" si="12"/>
        <v>3.8390080692777011</v>
      </c>
      <c r="H25" s="85">
        <v>137.97</v>
      </c>
      <c r="I25" s="74">
        <f t="shared" si="13"/>
        <v>1.3888665190255687</v>
      </c>
      <c r="J25" s="85">
        <v>220.51</v>
      </c>
      <c r="K25" s="74">
        <f t="shared" si="14"/>
        <v>2.0533569233634417</v>
      </c>
      <c r="L25" s="85">
        <v>167.12</v>
      </c>
      <c r="M25" s="81">
        <f t="shared" si="15"/>
        <v>1.491077801570307</v>
      </c>
    </row>
    <row r="26" spans="2:13">
      <c r="B26" s="83" t="s">
        <v>172</v>
      </c>
      <c r="C26" s="83" t="s">
        <v>94</v>
      </c>
      <c r="D26" s="84" t="s">
        <v>1</v>
      </c>
      <c r="E26" s="84" t="s">
        <v>37</v>
      </c>
      <c r="F26" s="85">
        <v>272.99</v>
      </c>
      <c r="G26" s="74">
        <f t="shared" si="12"/>
        <v>2.686380633733517</v>
      </c>
      <c r="H26" s="85">
        <v>371.13</v>
      </c>
      <c r="I26" s="74">
        <f t="shared" si="13"/>
        <v>3.7359573183007848</v>
      </c>
      <c r="J26" s="85">
        <v>999</v>
      </c>
      <c r="K26" s="74">
        <f t="shared" si="14"/>
        <v>9.302542136139305</v>
      </c>
      <c r="L26" s="85">
        <v>239.48</v>
      </c>
      <c r="M26" s="81">
        <f t="shared" si="15"/>
        <v>2.136688079942898</v>
      </c>
    </row>
    <row r="27" spans="2:13" s="87" customFormat="1">
      <c r="B27" s="83" t="s">
        <v>173</v>
      </c>
      <c r="C27" s="83" t="s">
        <v>94</v>
      </c>
      <c r="D27" s="84" t="s">
        <v>1</v>
      </c>
      <c r="E27" s="84" t="s">
        <v>37</v>
      </c>
      <c r="F27" s="85">
        <v>284.77999999999997</v>
      </c>
      <c r="G27" s="74">
        <f t="shared" si="12"/>
        <v>2.8024011021452466</v>
      </c>
      <c r="H27" s="85">
        <v>134.13</v>
      </c>
      <c r="I27" s="74">
        <f t="shared" si="13"/>
        <v>1.3502113952083752</v>
      </c>
      <c r="J27" s="85">
        <v>999</v>
      </c>
      <c r="K27" s="74">
        <f t="shared" si="14"/>
        <v>9.302542136139305</v>
      </c>
      <c r="L27" s="85">
        <v>999</v>
      </c>
      <c r="M27" s="81">
        <f t="shared" si="15"/>
        <v>8.9132762312633833</v>
      </c>
    </row>
    <row r="28" spans="2:13">
      <c r="B28" s="83" t="s">
        <v>46</v>
      </c>
      <c r="C28" s="83" t="s">
        <v>57</v>
      </c>
      <c r="D28" s="84" t="s">
        <v>1</v>
      </c>
      <c r="E28" s="84" t="s">
        <v>37</v>
      </c>
      <c r="F28" s="85">
        <v>112.13</v>
      </c>
      <c r="G28" s="74">
        <f t="shared" si="12"/>
        <v>1.1034245227317456</v>
      </c>
      <c r="H28" s="85">
        <v>107.35</v>
      </c>
      <c r="I28" s="74">
        <f t="shared" si="13"/>
        <v>1.080632172337427</v>
      </c>
      <c r="J28" s="85">
        <v>999</v>
      </c>
      <c r="K28" s="74">
        <f t="shared" si="14"/>
        <v>9.302542136139305</v>
      </c>
      <c r="L28" s="85">
        <v>122.29</v>
      </c>
      <c r="M28" s="81">
        <f t="shared" si="15"/>
        <v>1.0910956459671663</v>
      </c>
    </row>
    <row r="29" spans="2:13">
      <c r="B29" s="83" t="s">
        <v>66</v>
      </c>
      <c r="C29" s="83" t="s">
        <v>65</v>
      </c>
      <c r="D29" s="84" t="s">
        <v>1</v>
      </c>
      <c r="E29" s="84" t="s">
        <v>37</v>
      </c>
      <c r="F29" s="85">
        <v>120.29</v>
      </c>
      <c r="G29" s="74">
        <f t="shared" si="12"/>
        <v>1.1837236764416454</v>
      </c>
      <c r="H29" s="85">
        <v>103.64</v>
      </c>
      <c r="I29" s="74">
        <f t="shared" si="13"/>
        <v>1.0432856855244614</v>
      </c>
      <c r="J29" s="85">
        <v>121.32</v>
      </c>
      <c r="K29" s="74">
        <f t="shared" si="14"/>
        <v>1.129714126082503</v>
      </c>
      <c r="L29" s="85">
        <v>119.91</v>
      </c>
      <c r="M29" s="81">
        <f t="shared" si="15"/>
        <v>1.0698608137044967</v>
      </c>
    </row>
    <row r="30" spans="2:13">
      <c r="B30" s="83" t="s">
        <v>174</v>
      </c>
      <c r="C30" s="83" t="s">
        <v>175</v>
      </c>
      <c r="D30" s="84" t="s">
        <v>1</v>
      </c>
      <c r="E30" s="84" t="s">
        <v>37</v>
      </c>
      <c r="F30" s="85">
        <v>101.62</v>
      </c>
      <c r="G30" s="74">
        <f t="shared" si="12"/>
        <v>1</v>
      </c>
      <c r="H30" s="85">
        <v>99.34</v>
      </c>
      <c r="I30" s="74">
        <f t="shared" si="13"/>
        <v>1</v>
      </c>
      <c r="J30" s="85">
        <v>161.47</v>
      </c>
      <c r="K30" s="74">
        <f t="shared" si="14"/>
        <v>1.5035850637861998</v>
      </c>
      <c r="L30" s="85">
        <v>137.18</v>
      </c>
      <c r="M30" s="81">
        <f t="shared" si="15"/>
        <v>1.2239471805852964</v>
      </c>
    </row>
    <row r="31" spans="2:13">
      <c r="B31" s="83" t="s">
        <v>158</v>
      </c>
      <c r="C31" s="83" t="s">
        <v>176</v>
      </c>
      <c r="D31" s="84" t="s">
        <v>1</v>
      </c>
      <c r="E31" s="84" t="s">
        <v>37</v>
      </c>
      <c r="F31" s="85">
        <v>120.37</v>
      </c>
      <c r="G31" s="74">
        <f t="shared" si="12"/>
        <v>1.1845109230466444</v>
      </c>
      <c r="H31" s="85">
        <v>116.45</v>
      </c>
      <c r="I31" s="74">
        <f t="shared" si="13"/>
        <v>1.1722367626333803</v>
      </c>
      <c r="J31" s="85">
        <v>177.29</v>
      </c>
      <c r="K31" s="74">
        <f t="shared" si="14"/>
        <v>1.6508985939100473</v>
      </c>
      <c r="L31" s="85">
        <v>135.99</v>
      </c>
      <c r="M31" s="81">
        <f t="shared" si="15"/>
        <v>1.2133297644539616</v>
      </c>
    </row>
    <row r="32" spans="2:13">
      <c r="B32" s="83" t="s">
        <v>150</v>
      </c>
      <c r="C32" s="83" t="s">
        <v>53</v>
      </c>
      <c r="D32" s="84" t="s">
        <v>1</v>
      </c>
      <c r="E32" s="84" t="s">
        <v>37</v>
      </c>
      <c r="F32" s="85">
        <v>124.2</v>
      </c>
      <c r="G32" s="74">
        <f t="shared" si="12"/>
        <v>1.2222003542609723</v>
      </c>
      <c r="H32" s="85">
        <v>109.46</v>
      </c>
      <c r="I32" s="74">
        <f t="shared" si="13"/>
        <v>1.1018723575598952</v>
      </c>
      <c r="J32" s="85">
        <v>114.83</v>
      </c>
      <c r="K32" s="74">
        <f t="shared" si="14"/>
        <v>1.069280193686563</v>
      </c>
      <c r="L32" s="85">
        <v>121.55</v>
      </c>
      <c r="M32" s="81">
        <f t="shared" si="15"/>
        <v>1.0844932191291934</v>
      </c>
    </row>
    <row r="33" spans="2:13">
      <c r="B33" s="83" t="s">
        <v>156</v>
      </c>
      <c r="C33" s="83" t="s">
        <v>157</v>
      </c>
      <c r="D33" s="84" t="s">
        <v>1</v>
      </c>
      <c r="E33" s="84" t="s">
        <v>37</v>
      </c>
      <c r="F33" s="85">
        <v>156.06</v>
      </c>
      <c r="G33" s="74">
        <f t="shared" si="12"/>
        <v>1.5357213147018303</v>
      </c>
      <c r="H33" s="85">
        <v>158.31</v>
      </c>
      <c r="I33" s="74">
        <f t="shared" si="13"/>
        <v>1.5936178779947654</v>
      </c>
      <c r="J33" s="85">
        <v>125.53</v>
      </c>
      <c r="K33" s="74">
        <f t="shared" si="14"/>
        <v>1.168917031380948</v>
      </c>
      <c r="L33" s="85">
        <v>133.41999999999999</v>
      </c>
      <c r="M33" s="81">
        <f t="shared" si="15"/>
        <v>1.1903997144896501</v>
      </c>
    </row>
    <row r="34" spans="2:13">
      <c r="B34" s="83" t="s">
        <v>121</v>
      </c>
      <c r="C34" s="83" t="s">
        <v>93</v>
      </c>
      <c r="D34" s="84" t="s">
        <v>1</v>
      </c>
      <c r="E34" s="84" t="s">
        <v>37</v>
      </c>
      <c r="F34" s="85">
        <v>999</v>
      </c>
      <c r="G34" s="74">
        <f t="shared" si="12"/>
        <v>9.8307419799252109</v>
      </c>
      <c r="H34" s="85">
        <v>249.37</v>
      </c>
      <c r="I34" s="74">
        <f t="shared" si="13"/>
        <v>2.510267767263942</v>
      </c>
      <c r="J34" s="85">
        <v>999</v>
      </c>
      <c r="K34" s="74">
        <f t="shared" si="14"/>
        <v>9.302542136139305</v>
      </c>
      <c r="L34" s="85">
        <v>999</v>
      </c>
      <c r="M34" s="81">
        <f t="shared" si="15"/>
        <v>8.9132762312633833</v>
      </c>
    </row>
    <row r="35" spans="2:13">
      <c r="B35" s="83" t="s">
        <v>177</v>
      </c>
      <c r="C35" s="83" t="s">
        <v>178</v>
      </c>
      <c r="D35" s="84" t="s">
        <v>1</v>
      </c>
      <c r="E35" s="84" t="s">
        <v>37</v>
      </c>
      <c r="F35" s="85">
        <v>180.27</v>
      </c>
      <c r="G35" s="74">
        <f t="shared" si="12"/>
        <v>1.7739618185396575</v>
      </c>
      <c r="H35" s="85">
        <v>109.18</v>
      </c>
      <c r="I35" s="74">
        <f t="shared" si="13"/>
        <v>1.0990537547815584</v>
      </c>
      <c r="J35" s="85">
        <v>142.53</v>
      </c>
      <c r="K35" s="74">
        <f t="shared" si="14"/>
        <v>1.3272185492131483</v>
      </c>
      <c r="L35" s="85">
        <v>119.76</v>
      </c>
      <c r="M35" s="81">
        <f t="shared" si="15"/>
        <v>1.0685224839400429</v>
      </c>
    </row>
    <row r="36" spans="2:13">
      <c r="B36" s="83" t="s">
        <v>179</v>
      </c>
      <c r="C36" s="83" t="s">
        <v>180</v>
      </c>
      <c r="D36" s="84" t="s">
        <v>1</v>
      </c>
      <c r="E36" s="84" t="s">
        <v>37</v>
      </c>
      <c r="F36" s="85">
        <v>103.33</v>
      </c>
      <c r="G36" s="74">
        <f t="shared" si="12"/>
        <v>1.0168273961818539</v>
      </c>
      <c r="H36" s="85">
        <v>100.53</v>
      </c>
      <c r="I36" s="74">
        <f t="shared" si="13"/>
        <v>1.0119790618079323</v>
      </c>
      <c r="J36" s="85">
        <v>118.65</v>
      </c>
      <c r="K36" s="74">
        <f t="shared" si="14"/>
        <v>1.1048514759288575</v>
      </c>
      <c r="L36" s="85">
        <v>178.85</v>
      </c>
      <c r="M36" s="81">
        <f t="shared" si="15"/>
        <v>1.5957351891506066</v>
      </c>
    </row>
    <row r="37" spans="2:13">
      <c r="B37" s="83" t="s">
        <v>82</v>
      </c>
      <c r="C37" s="83" t="s">
        <v>81</v>
      </c>
      <c r="D37" s="84" t="s">
        <v>1</v>
      </c>
      <c r="E37" s="84" t="s">
        <v>37</v>
      </c>
      <c r="F37" s="85">
        <v>114.47</v>
      </c>
      <c r="G37" s="74">
        <f t="shared" si="12"/>
        <v>1.1264514859279668</v>
      </c>
      <c r="H37" s="85">
        <v>117.54</v>
      </c>
      <c r="I37" s="74">
        <f t="shared" si="13"/>
        <v>1.1832091805919065</v>
      </c>
      <c r="J37" s="85">
        <v>999</v>
      </c>
      <c r="K37" s="74">
        <f t="shared" si="14"/>
        <v>9.302542136139305</v>
      </c>
      <c r="L37" s="85">
        <v>999</v>
      </c>
      <c r="M37" s="81">
        <f t="shared" si="15"/>
        <v>8.9132762312633833</v>
      </c>
    </row>
    <row r="38" spans="2:13">
      <c r="F38" s="77"/>
      <c r="G38" s="77"/>
      <c r="H38" s="77"/>
      <c r="I38" s="77"/>
      <c r="J38" s="77"/>
      <c r="K38" s="77"/>
      <c r="L38" s="77"/>
      <c r="M38" s="77"/>
    </row>
    <row r="39" spans="2:13">
      <c r="B39" s="83" t="s">
        <v>181</v>
      </c>
      <c r="C39" s="83" t="s">
        <v>182</v>
      </c>
      <c r="D39" s="84" t="s">
        <v>1</v>
      </c>
      <c r="E39" s="84" t="s">
        <v>45</v>
      </c>
      <c r="F39" s="85">
        <v>234.73</v>
      </c>
      <c r="G39" s="74">
        <f t="shared" si="4"/>
        <v>2.5667577911427006</v>
      </c>
      <c r="H39" s="85">
        <v>193.42</v>
      </c>
      <c r="I39" s="74">
        <f t="shared" si="5"/>
        <v>2.2311685315491983</v>
      </c>
      <c r="J39" s="85">
        <v>999</v>
      </c>
      <c r="K39" s="74">
        <f t="shared" si="6"/>
        <v>10.338404222291214</v>
      </c>
      <c r="L39" s="85">
        <v>999</v>
      </c>
      <c r="M39" s="81">
        <f t="shared" si="7"/>
        <v>10.179335642959039</v>
      </c>
    </row>
    <row r="40" spans="2:13">
      <c r="B40" s="83" t="s">
        <v>50</v>
      </c>
      <c r="C40" s="83" t="s">
        <v>54</v>
      </c>
      <c r="D40" s="84" t="s">
        <v>1</v>
      </c>
      <c r="E40" s="84" t="s">
        <v>45</v>
      </c>
      <c r="F40" s="85">
        <v>103.76</v>
      </c>
      <c r="G40" s="74">
        <f t="shared" si="4"/>
        <v>1.1346090759978131</v>
      </c>
      <c r="H40" s="85">
        <v>153.35</v>
      </c>
      <c r="I40" s="74">
        <f t="shared" si="5"/>
        <v>1.7689468220094591</v>
      </c>
      <c r="J40" s="85">
        <v>106.78</v>
      </c>
      <c r="K40" s="74">
        <f t="shared" si="6"/>
        <v>1.1050398426989549</v>
      </c>
      <c r="L40" s="85">
        <v>108.13</v>
      </c>
      <c r="M40" s="81">
        <f t="shared" si="7"/>
        <v>1.1017933564295903</v>
      </c>
    </row>
    <row r="41" spans="2:13">
      <c r="B41" s="83" t="s">
        <v>51</v>
      </c>
      <c r="C41" s="83" t="s">
        <v>55</v>
      </c>
      <c r="D41" s="84" t="s">
        <v>1</v>
      </c>
      <c r="E41" s="84" t="s">
        <v>45</v>
      </c>
      <c r="F41" s="85">
        <v>94.73</v>
      </c>
      <c r="G41" s="74">
        <f t="shared" si="4"/>
        <v>1.0358665937670859</v>
      </c>
      <c r="H41" s="85">
        <v>89.69</v>
      </c>
      <c r="I41" s="74">
        <f t="shared" si="5"/>
        <v>1.0346060675971853</v>
      </c>
      <c r="J41" s="85">
        <v>96.93</v>
      </c>
      <c r="K41" s="74">
        <f t="shared" si="6"/>
        <v>1.00310462589258</v>
      </c>
      <c r="L41" s="85">
        <v>98.14</v>
      </c>
      <c r="M41" s="81">
        <f t="shared" si="7"/>
        <v>1</v>
      </c>
    </row>
    <row r="42" spans="2:13">
      <c r="B42" s="83" t="s">
        <v>183</v>
      </c>
      <c r="C42" s="83" t="s">
        <v>184</v>
      </c>
      <c r="D42" s="84" t="s">
        <v>1</v>
      </c>
      <c r="E42" s="84" t="s">
        <v>45</v>
      </c>
      <c r="F42" s="85">
        <v>148.49</v>
      </c>
      <c r="G42" s="74">
        <f t="shared" si="4"/>
        <v>1.6237288135593222</v>
      </c>
      <c r="H42" s="85">
        <v>102.16</v>
      </c>
      <c r="I42" s="74">
        <f t="shared" si="5"/>
        <v>1.1784519552428192</v>
      </c>
      <c r="J42" s="85">
        <v>105.45</v>
      </c>
      <c r="K42" s="74">
        <f t="shared" si="6"/>
        <v>1.0912760012418505</v>
      </c>
      <c r="L42" s="85">
        <v>100.55</v>
      </c>
      <c r="M42" s="81">
        <f t="shared" si="7"/>
        <v>1.0245567556551864</v>
      </c>
    </row>
    <row r="43" spans="2:13">
      <c r="B43" s="83" t="s">
        <v>52</v>
      </c>
      <c r="C43" s="83" t="s">
        <v>39</v>
      </c>
      <c r="D43" s="84" t="s">
        <v>1</v>
      </c>
      <c r="E43" s="84" t="s">
        <v>45</v>
      </c>
      <c r="F43" s="85">
        <v>91.45</v>
      </c>
      <c r="G43" s="74">
        <f t="shared" si="4"/>
        <v>1</v>
      </c>
      <c r="H43" s="85">
        <v>139.69999999999999</v>
      </c>
      <c r="I43" s="74">
        <f t="shared" si="5"/>
        <v>1.6114892144422654</v>
      </c>
      <c r="J43" s="85">
        <v>150.80000000000001</v>
      </c>
      <c r="K43" s="74">
        <f t="shared" si="6"/>
        <v>1.5605919486701854</v>
      </c>
      <c r="L43" s="85">
        <v>999</v>
      </c>
      <c r="M43" s="81">
        <f t="shared" si="7"/>
        <v>10.179335642959039</v>
      </c>
    </row>
    <row r="44" spans="2:13">
      <c r="B44" s="83" t="s">
        <v>185</v>
      </c>
      <c r="C44" s="83" t="s">
        <v>186</v>
      </c>
      <c r="D44" s="84" t="s">
        <v>1</v>
      </c>
      <c r="E44" s="84" t="s">
        <v>45</v>
      </c>
      <c r="F44" s="85">
        <v>132.12</v>
      </c>
      <c r="G44" s="74">
        <f t="shared" si="4"/>
        <v>1.4447238928376163</v>
      </c>
      <c r="H44" s="85">
        <v>130.56</v>
      </c>
      <c r="I44" s="74">
        <f t="shared" si="5"/>
        <v>1.5060560618295076</v>
      </c>
      <c r="J44" s="85">
        <v>133.63999999999999</v>
      </c>
      <c r="K44" s="74">
        <f t="shared" si="6"/>
        <v>1.3830073476146123</v>
      </c>
      <c r="L44" s="85">
        <v>197.24</v>
      </c>
      <c r="M44" s="81">
        <f t="shared" si="7"/>
        <v>2.0097819441614022</v>
      </c>
    </row>
    <row r="45" spans="2:13">
      <c r="B45" s="88" t="s">
        <v>187</v>
      </c>
      <c r="F45" s="89">
        <f>MIN(F7:F11,F39:F44)</f>
        <v>91.45</v>
      </c>
      <c r="G45" s="90"/>
      <c r="H45" s="89">
        <f>MIN(H7:H11,H39:H44)</f>
        <v>89.69</v>
      </c>
      <c r="J45" s="89">
        <f>MIN(J7:J11,J39:J44)</f>
        <v>96.93</v>
      </c>
      <c r="L45" s="89">
        <f>MIN(L7:L11,L39:L44)</f>
        <v>98.14</v>
      </c>
    </row>
    <row r="46" spans="2:13">
      <c r="B46" s="91" t="s">
        <v>188</v>
      </c>
      <c r="F46" s="92">
        <f>MIN(F2:F5,F13:F17,F19:F37)</f>
        <v>101.62</v>
      </c>
      <c r="H46" s="92">
        <f>MIN(H2:H5,H13:H17,H19:H37)</f>
        <v>99.34</v>
      </c>
      <c r="J46" s="92">
        <f>MIN(J2:J5,J13:J17,J19:J37)</f>
        <v>107.39</v>
      </c>
      <c r="L46" s="92">
        <f>MIN(L2:L5,L13:L17,L19:L37)</f>
        <v>112.08</v>
      </c>
    </row>
    <row r="47" spans="2:13">
      <c r="F47" s="77"/>
      <c r="G47" s="77"/>
      <c r="H47" s="77"/>
      <c r="I47" s="77"/>
      <c r="J47" s="77"/>
      <c r="K47" s="77"/>
      <c r="L47" s="77"/>
      <c r="M47" s="77"/>
    </row>
    <row r="48" spans="2:13" ht="39.75" customHeight="1">
      <c r="B48" s="97" t="s">
        <v>189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2:3">
      <c r="B49" s="77" t="s">
        <v>190</v>
      </c>
    </row>
    <row r="50" spans="2:3">
      <c r="B50" s="77" t="s">
        <v>191</v>
      </c>
    </row>
    <row r="51" spans="2:3">
      <c r="B51" s="77" t="s">
        <v>192</v>
      </c>
      <c r="C51" s="93">
        <v>1.1499999999999999</v>
      </c>
    </row>
    <row r="52" spans="2:3">
      <c r="B52" s="77" t="s">
        <v>0</v>
      </c>
      <c r="C52" s="93">
        <v>1.31</v>
      </c>
    </row>
    <row r="53" spans="2:3">
      <c r="B53" s="77" t="s">
        <v>9</v>
      </c>
      <c r="C53" s="93">
        <v>1.24</v>
      </c>
    </row>
    <row r="54" spans="2:3">
      <c r="B54" s="77" t="s">
        <v>10</v>
      </c>
      <c r="C54" s="93">
        <v>1.52</v>
      </c>
    </row>
    <row r="55" spans="2:3">
      <c r="C55" s="93"/>
    </row>
    <row r="56" spans="2:3">
      <c r="C56" s="93"/>
    </row>
    <row r="57" spans="2:3">
      <c r="B57" s="77" t="s">
        <v>45</v>
      </c>
      <c r="C57" s="93"/>
    </row>
    <row r="58" spans="2:3">
      <c r="B58" s="77" t="s">
        <v>192</v>
      </c>
      <c r="C58" s="93">
        <v>1.1000000000000001</v>
      </c>
    </row>
    <row r="59" spans="2:3">
      <c r="B59" s="77" t="s">
        <v>0</v>
      </c>
      <c r="C59" s="93">
        <v>1.26</v>
      </c>
    </row>
    <row r="60" spans="2:3">
      <c r="B60" s="77" t="s">
        <v>9</v>
      </c>
      <c r="C60" s="93">
        <v>1.19</v>
      </c>
    </row>
    <row r="61" spans="2:3">
      <c r="B61" s="77" t="s">
        <v>10</v>
      </c>
      <c r="C61" s="93">
        <v>1.47</v>
      </c>
    </row>
    <row r="62" spans="2:3">
      <c r="C62" s="93"/>
    </row>
  </sheetData>
  <mergeCells count="1">
    <mergeCell ref="B48:M48"/>
  </mergeCells>
  <conditionalFormatting sqref="G2:G5">
    <cfRule type="cellIs" dxfId="383" priority="16" operator="lessThan">
      <formula>$C$52</formula>
    </cfRule>
    <cfRule type="cellIs" dxfId="382" priority="17" operator="lessThan">
      <formula>$C$52</formula>
    </cfRule>
  </conditionalFormatting>
  <conditionalFormatting sqref="I2:I5">
    <cfRule type="cellIs" dxfId="381" priority="14" operator="lessThan">
      <formula>$C$52</formula>
    </cfRule>
    <cfRule type="cellIs" dxfId="380" priority="15" operator="lessThan">
      <formula>$C$52</formula>
    </cfRule>
  </conditionalFormatting>
  <conditionalFormatting sqref="K2:K5">
    <cfRule type="cellIs" dxfId="379" priority="12" operator="lessThan">
      <formula>$C$52</formula>
    </cfRule>
    <cfRule type="cellIs" dxfId="378" priority="13" operator="lessThan">
      <formula>$C$52</formula>
    </cfRule>
  </conditionalFormatting>
  <conditionalFormatting sqref="M2:M5">
    <cfRule type="cellIs" dxfId="377" priority="10" operator="lessThan">
      <formula>$C$52</formula>
    </cfRule>
    <cfRule type="cellIs" dxfId="376" priority="11" operator="lessThan">
      <formula>$C$52</formula>
    </cfRule>
  </conditionalFormatting>
  <conditionalFormatting sqref="G7:G9 I7:I9 K7:K9 M7:M9">
    <cfRule type="cellIs" dxfId="375" priority="9" operator="lessThan">
      <formula>$C$59</formula>
    </cfRule>
  </conditionalFormatting>
  <conditionalFormatting sqref="G11 I11 K11 M11">
    <cfRule type="cellIs" dxfId="374" priority="8" operator="lessThan">
      <formula>$C$61</formula>
    </cfRule>
  </conditionalFormatting>
  <conditionalFormatting sqref="G2:G5 I2:I5 K2:K5 M2:M5">
    <cfRule type="cellIs" dxfId="373" priority="3" operator="lessThan">
      <formula>$C$52</formula>
    </cfRule>
    <cfRule type="cellIs" dxfId="372" priority="7" operator="lessThan">
      <formula>$C$52</formula>
    </cfRule>
  </conditionalFormatting>
  <conditionalFormatting sqref="G13:G17 I13:I17 K13:K17 M13:M17">
    <cfRule type="cellIs" dxfId="371" priority="2" operator="lessThan">
      <formula>$C$53</formula>
    </cfRule>
    <cfRule type="cellIs" dxfId="370" priority="6" operator="lessThan">
      <formula>$C$53</formula>
    </cfRule>
  </conditionalFormatting>
  <conditionalFormatting sqref="G19:G37 I19:I37 K19:K37 M19:M37">
    <cfRule type="cellIs" dxfId="369" priority="1" operator="lessThan">
      <formula>$C$51</formula>
    </cfRule>
    <cfRule type="cellIs" dxfId="368" priority="5" operator="lessThan">
      <formula>$C$51</formula>
    </cfRule>
  </conditionalFormatting>
  <conditionalFormatting sqref="G39:G44 I39:I44 K39:K44 M39:M44">
    <cfRule type="cellIs" dxfId="367" priority="4" operator="lessThan">
      <formula>$C$58</formula>
    </cfRule>
  </conditionalFormatting>
  <pageMargins left="0.7" right="0.7" top="0.75" bottom="0.75" header="0.3" footer="0.3"/>
  <pageSetup scale="5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="80" zoomScaleNormal="80" workbookViewId="0">
      <selection activeCell="A21" sqref="A21"/>
    </sheetView>
  </sheetViews>
  <sheetFormatPr defaultColWidth="8.85546875" defaultRowHeight="16.5"/>
  <cols>
    <col min="1" max="1" width="16.140625" style="60" customWidth="1"/>
    <col min="2" max="2" width="24.7109375" style="60" customWidth="1"/>
    <col min="3" max="3" width="15.85546875" style="60" customWidth="1"/>
    <col min="4" max="4" width="19.7109375" style="60" customWidth="1"/>
    <col min="5" max="5" width="21.28515625" style="60" customWidth="1"/>
    <col min="6" max="6" width="71.42578125" style="60" customWidth="1"/>
    <col min="7" max="8" width="11.5703125" style="60" customWidth="1"/>
    <col min="9" max="9" width="36.5703125" style="60" customWidth="1"/>
    <col min="10" max="10" width="7.5703125" style="60" customWidth="1"/>
    <col min="11" max="16384" width="8.85546875" style="60"/>
  </cols>
  <sheetData>
    <row r="1" spans="1:6" ht="21">
      <c r="A1" s="99" t="s">
        <v>122</v>
      </c>
      <c r="B1" s="99"/>
      <c r="C1" s="99"/>
      <c r="D1" s="99"/>
      <c r="E1" s="99"/>
    </row>
    <row r="2" spans="1:6" ht="27.6" customHeight="1">
      <c r="A2" s="98" t="s">
        <v>130</v>
      </c>
      <c r="B2" s="98"/>
      <c r="C2" s="98"/>
      <c r="D2" s="98"/>
      <c r="E2" s="98"/>
    </row>
    <row r="3" spans="1:6" ht="17.649999999999999" customHeight="1">
      <c r="A3" s="65" t="s">
        <v>83</v>
      </c>
      <c r="B3" s="65" t="s">
        <v>84</v>
      </c>
      <c r="C3" s="61" t="s">
        <v>134</v>
      </c>
      <c r="D3" s="61" t="s">
        <v>123</v>
      </c>
      <c r="E3" s="62" t="s">
        <v>127</v>
      </c>
    </row>
    <row r="4" spans="1:6" ht="17.649999999999999" customHeight="1">
      <c r="A4" s="65" t="s">
        <v>68</v>
      </c>
      <c r="B4" s="65" t="s">
        <v>76</v>
      </c>
      <c r="C4" s="61" t="s">
        <v>134</v>
      </c>
      <c r="D4" s="61" t="s">
        <v>124</v>
      </c>
      <c r="E4" s="62" t="s">
        <v>128</v>
      </c>
    </row>
    <row r="5" spans="1:6" ht="17.649999999999999" customHeight="1">
      <c r="A5" s="62" t="s">
        <v>55</v>
      </c>
      <c r="B5" s="62" t="s">
        <v>51</v>
      </c>
      <c r="C5" s="62" t="s">
        <v>86</v>
      </c>
      <c r="D5" s="61" t="s">
        <v>123</v>
      </c>
      <c r="E5" s="62" t="s">
        <v>129</v>
      </c>
    </row>
    <row r="6" spans="1:6" ht="17.649999999999999" customHeight="1">
      <c r="A6" s="62" t="s">
        <v>39</v>
      </c>
      <c r="B6" s="61" t="s">
        <v>52</v>
      </c>
      <c r="C6" s="62" t="s">
        <v>86</v>
      </c>
      <c r="D6" s="61" t="s">
        <v>125</v>
      </c>
      <c r="E6" s="62" t="s">
        <v>128</v>
      </c>
    </row>
    <row r="7" spans="1:6" ht="17.649999999999999" customHeight="1">
      <c r="A7" s="62" t="s">
        <v>53</v>
      </c>
      <c r="B7" s="61" t="s">
        <v>67</v>
      </c>
      <c r="C7" s="62" t="s">
        <v>86</v>
      </c>
      <c r="D7" s="61" t="s">
        <v>124</v>
      </c>
      <c r="E7" s="62" t="s">
        <v>127</v>
      </c>
    </row>
    <row r="8" spans="1:6" ht="17.649999999999999" customHeight="1">
      <c r="A8" s="62" t="s">
        <v>54</v>
      </c>
      <c r="B8" s="61" t="s">
        <v>50</v>
      </c>
      <c r="C8" s="62" t="s">
        <v>86</v>
      </c>
      <c r="D8" s="61" t="s">
        <v>126</v>
      </c>
      <c r="E8" s="62" t="s">
        <v>135</v>
      </c>
      <c r="F8" s="62" t="s">
        <v>138</v>
      </c>
    </row>
    <row r="9" spans="1:6" ht="17.649999999999999" customHeight="1">
      <c r="A9" s="62" t="s">
        <v>53</v>
      </c>
      <c r="B9" s="61" t="s">
        <v>67</v>
      </c>
      <c r="C9" s="61" t="s">
        <v>87</v>
      </c>
      <c r="D9" s="61" t="s">
        <v>124</v>
      </c>
      <c r="E9" s="62" t="s">
        <v>127</v>
      </c>
    </row>
    <row r="10" spans="1:6" ht="17.649999999999999" customHeight="1">
      <c r="A10" s="62" t="s">
        <v>92</v>
      </c>
      <c r="B10" s="61" t="s">
        <v>91</v>
      </c>
      <c r="C10" s="61" t="s">
        <v>87</v>
      </c>
      <c r="D10" s="61" t="s">
        <v>124</v>
      </c>
      <c r="E10" s="62" t="s">
        <v>127</v>
      </c>
    </row>
    <row r="11" spans="1:6" ht="17.649999999999999" customHeight="1">
      <c r="A11" s="62" t="s">
        <v>65</v>
      </c>
      <c r="B11" s="61" t="s">
        <v>66</v>
      </c>
      <c r="C11" s="61" t="s">
        <v>87</v>
      </c>
      <c r="D11" s="61" t="s">
        <v>124</v>
      </c>
      <c r="E11" s="62" t="s">
        <v>127</v>
      </c>
    </row>
    <row r="12" spans="1:6" ht="27.95" customHeight="1">
      <c r="A12" s="98" t="s">
        <v>131</v>
      </c>
      <c r="B12" s="98"/>
      <c r="C12" s="98"/>
      <c r="D12" s="98"/>
      <c r="E12" s="98"/>
    </row>
    <row r="13" spans="1:6" ht="17.649999999999999" customHeight="1">
      <c r="A13" s="62" t="s">
        <v>44</v>
      </c>
      <c r="B13" s="61" t="s">
        <v>42</v>
      </c>
      <c r="C13" s="61" t="s">
        <v>86</v>
      </c>
      <c r="D13" s="61" t="s">
        <v>124</v>
      </c>
      <c r="E13" s="62" t="s">
        <v>127</v>
      </c>
    </row>
    <row r="14" spans="1:6" ht="17.649999999999999" customHeight="1">
      <c r="A14" s="62" t="s">
        <v>40</v>
      </c>
      <c r="B14" s="61" t="s">
        <v>41</v>
      </c>
      <c r="C14" s="61" t="s">
        <v>86</v>
      </c>
      <c r="D14" s="61" t="s">
        <v>123</v>
      </c>
      <c r="E14" s="62" t="s">
        <v>129</v>
      </c>
      <c r="F14" s="60" t="s">
        <v>139</v>
      </c>
    </row>
    <row r="15" spans="1:6" ht="17.649999999999999" customHeight="1">
      <c r="A15" s="62" t="s">
        <v>40</v>
      </c>
      <c r="B15" s="61" t="s">
        <v>41</v>
      </c>
      <c r="C15" s="61" t="s">
        <v>87</v>
      </c>
      <c r="D15" s="61" t="s">
        <v>123</v>
      </c>
      <c r="E15" s="62" t="s">
        <v>129</v>
      </c>
    </row>
    <row r="16" spans="1:6" ht="17.649999999999999" customHeight="1">
      <c r="A16" s="62" t="s">
        <v>80</v>
      </c>
      <c r="B16" s="61" t="s">
        <v>41</v>
      </c>
      <c r="C16" s="61" t="s">
        <v>87</v>
      </c>
      <c r="D16" s="61" t="s">
        <v>126</v>
      </c>
      <c r="E16" s="62" t="s">
        <v>135</v>
      </c>
      <c r="F16" s="60" t="s">
        <v>140</v>
      </c>
    </row>
    <row r="17" spans="1:6" ht="17.649999999999999" customHeight="1">
      <c r="A17" s="62" t="s">
        <v>78</v>
      </c>
      <c r="B17" s="61" t="s">
        <v>79</v>
      </c>
      <c r="C17" s="61" t="s">
        <v>87</v>
      </c>
      <c r="D17" s="61" t="s">
        <v>124</v>
      </c>
      <c r="E17" s="62" t="s">
        <v>127</v>
      </c>
      <c r="F17" s="60" t="s">
        <v>140</v>
      </c>
    </row>
    <row r="18" spans="1:6" ht="27.6" customHeight="1">
      <c r="A18" s="98" t="s">
        <v>132</v>
      </c>
      <c r="B18" s="98"/>
      <c r="C18" s="98"/>
      <c r="D18" s="98"/>
      <c r="E18" s="98"/>
    </row>
    <row r="19" spans="1:6" ht="17.649999999999999" customHeight="1">
      <c r="A19" s="62" t="s">
        <v>63</v>
      </c>
      <c r="B19" s="61" t="s">
        <v>49</v>
      </c>
      <c r="C19" s="61" t="s">
        <v>134</v>
      </c>
      <c r="D19" s="61" t="s">
        <v>124</v>
      </c>
      <c r="E19" s="62" t="s">
        <v>128</v>
      </c>
    </row>
    <row r="20" spans="1:6" ht="17.649999999999999" customHeight="1">
      <c r="A20" s="62" t="s">
        <v>93</v>
      </c>
      <c r="B20" s="61" t="s">
        <v>121</v>
      </c>
      <c r="C20" s="61" t="s">
        <v>86</v>
      </c>
      <c r="D20" s="61" t="s">
        <v>126</v>
      </c>
      <c r="E20" s="62" t="s">
        <v>135</v>
      </c>
      <c r="F20" s="60" t="s">
        <v>139</v>
      </c>
    </row>
    <row r="21" spans="1:6" ht="17.649999999999999" customHeight="1">
      <c r="A21" s="62" t="s">
        <v>57</v>
      </c>
      <c r="B21" s="61" t="s">
        <v>46</v>
      </c>
      <c r="C21" s="61" t="s">
        <v>86</v>
      </c>
      <c r="D21" s="61" t="s">
        <v>126</v>
      </c>
      <c r="E21" s="62" t="s">
        <v>135</v>
      </c>
      <c r="F21" s="60" t="s">
        <v>139</v>
      </c>
    </row>
    <row r="22" spans="1:6" ht="17.649999999999999" customHeight="1">
      <c r="A22" s="62" t="s">
        <v>93</v>
      </c>
      <c r="B22" s="61" t="s">
        <v>121</v>
      </c>
      <c r="C22" s="61" t="s">
        <v>87</v>
      </c>
      <c r="D22" s="61" t="s">
        <v>126</v>
      </c>
      <c r="E22" s="62" t="s">
        <v>135</v>
      </c>
    </row>
    <row r="23" spans="1:6" ht="17.649999999999999" customHeight="1">
      <c r="A23" s="62" t="s">
        <v>57</v>
      </c>
      <c r="B23" s="61" t="s">
        <v>46</v>
      </c>
      <c r="C23" s="61" t="s">
        <v>87</v>
      </c>
      <c r="D23" s="61" t="s">
        <v>126</v>
      </c>
      <c r="E23" s="62" t="s">
        <v>135</v>
      </c>
    </row>
    <row r="24" spans="1:6" ht="17.649999999999999" customHeight="1">
      <c r="A24" s="62" t="s">
        <v>92</v>
      </c>
      <c r="B24" s="61" t="s">
        <v>91</v>
      </c>
      <c r="C24" s="61" t="s">
        <v>87</v>
      </c>
      <c r="D24" s="61" t="s">
        <v>124</v>
      </c>
      <c r="E24" s="62" t="s">
        <v>127</v>
      </c>
    </row>
    <row r="25" spans="1:6" ht="27.95" customHeight="1">
      <c r="A25" s="98" t="s">
        <v>133</v>
      </c>
      <c r="B25" s="98"/>
      <c r="C25" s="98"/>
      <c r="D25" s="98"/>
      <c r="E25" s="98"/>
    </row>
    <row r="26" spans="1:6" ht="17.649999999999999" customHeight="1">
      <c r="A26" s="62" t="s">
        <v>44</v>
      </c>
      <c r="B26" s="61" t="s">
        <v>42</v>
      </c>
      <c r="C26" s="61" t="s">
        <v>134</v>
      </c>
      <c r="D26" s="61" t="s">
        <v>124</v>
      </c>
      <c r="E26" s="62" t="s">
        <v>127</v>
      </c>
    </row>
    <row r="27" spans="1:6">
      <c r="A27" s="62" t="s">
        <v>44</v>
      </c>
      <c r="B27" s="61" t="s">
        <v>42</v>
      </c>
      <c r="C27" s="61" t="s">
        <v>86</v>
      </c>
      <c r="D27" s="61" t="s">
        <v>124</v>
      </c>
      <c r="E27" s="62" t="s">
        <v>127</v>
      </c>
    </row>
  </sheetData>
  <mergeCells count="5">
    <mergeCell ref="A25:E25"/>
    <mergeCell ref="A1:E1"/>
    <mergeCell ref="A12:E12"/>
    <mergeCell ref="A2:E2"/>
    <mergeCell ref="A18:E18"/>
  </mergeCells>
  <pageMargins left="0.7" right="0.7" top="0.75" bottom="0.75" header="0.3" footer="0.3"/>
  <pageSetup scale="66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S19"/>
  <sheetViews>
    <sheetView topLeftCell="A4" zoomScale="80" zoomScaleNormal="80" workbookViewId="0">
      <selection activeCell="D28" sqref="D28"/>
    </sheetView>
  </sheetViews>
  <sheetFormatPr defaultColWidth="17.140625" defaultRowHeight="12.75" customHeight="1"/>
  <cols>
    <col min="1" max="1" width="12.28515625" style="21" customWidth="1"/>
    <col min="2" max="2" width="18.28515625" style="21" customWidth="1"/>
    <col min="3" max="3" width="22.8554687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07" t="s">
        <v>97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37.5" customHeight="1">
      <c r="A3" s="105" t="s">
        <v>72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36">
      <c r="A4" s="22" t="s">
        <v>28</v>
      </c>
      <c r="B4" s="23" t="s">
        <v>11</v>
      </c>
      <c r="C4" s="24" t="s">
        <v>8</v>
      </c>
      <c r="D4" s="24" t="s">
        <v>25</v>
      </c>
      <c r="E4" s="24" t="s">
        <v>85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</row>
    <row r="5" spans="1:19" s="34" customFormat="1" ht="27" customHeight="1">
      <c r="A5" s="28">
        <v>1</v>
      </c>
      <c r="B5" s="29" t="str">
        <f>'2019 OKC Results'!C31</f>
        <v>Ben</v>
      </c>
      <c r="C5" s="29" t="str">
        <f>'2019 OKC Results'!D31</f>
        <v>HAYWARD</v>
      </c>
      <c r="D5" s="29" t="str">
        <f>'2019 OKC Results'!E31</f>
        <v>K1M</v>
      </c>
      <c r="E5" s="29" t="str">
        <f>'2019 OKC Results'!F31</f>
        <v>SR</v>
      </c>
      <c r="F5" s="53">
        <f>'2019 OKC Results'!G31</f>
        <v>86.74</v>
      </c>
      <c r="G5" s="30">
        <f t="shared" ref="G5:G16" si="0">(F5/F$17)*100</f>
        <v>100</v>
      </c>
      <c r="H5" s="31">
        <f t="shared" ref="H5:H16" si="1">IF((RANK(F5,F$5:F$16,1)=1),0,RANK(F5,F$5:F$16,1))</f>
        <v>0</v>
      </c>
      <c r="I5" s="30">
        <f>'2019 OKC Results'!H31</f>
        <v>85.94</v>
      </c>
      <c r="J5" s="30">
        <f t="shared" ref="J5:J16" si="2">(I5/I$17)*100</f>
        <v>100</v>
      </c>
      <c r="K5" s="31">
        <f t="shared" ref="K5:K16" si="3">IF((RANK(I5,I$5:I$16,1)=1),0,RANK(I5,I$5:I$16,1))</f>
        <v>0</v>
      </c>
      <c r="L5" s="30">
        <f>'2019 OKC Results'!I31</f>
        <v>95.7</v>
      </c>
      <c r="M5" s="30">
        <f t="shared" ref="M5:M16" si="4">(L5/L$17)*100</f>
        <v>103.28081156917766</v>
      </c>
      <c r="N5" s="31">
        <f t="shared" ref="N5:N16" si="5">IF((RANK(L5,L$5:L$16,1)=1),0,RANK(L5,L$5:L$16,1))</f>
        <v>2</v>
      </c>
      <c r="O5" s="30">
        <f>'2019 OKC Results'!J31</f>
        <v>90.6</v>
      </c>
      <c r="P5" s="30">
        <f t="shared" ref="P5:P16" si="6">(O5/O$17)*100</f>
        <v>100</v>
      </c>
      <c r="Q5" s="31">
        <f t="shared" ref="Q5:Q16" si="7">IF((RANK(O5,O$5:O$16,1)=1),0,RANK(O5,O$5:O$16,1))</f>
        <v>0</v>
      </c>
      <c r="R5" s="32">
        <f t="shared" ref="R5:R16" si="8">IF((COUNT(G5,J5,M5,P5)&gt;3),(SUM(G5,J5,M5,P5)-MAX(G5,J5,M5,P5)),SUM(G5,J5,M5,P5))</f>
        <v>300</v>
      </c>
      <c r="S5" s="33">
        <f t="shared" ref="S5:S16" si="9">IF((COUNT(H5,K5,N5,Q5)&gt;3),(SUM(H5,K5,N5,Q5)-MAX(H5,K5,N5,Q5)),SUM(H5,K5,N5,Q5))</f>
        <v>0</v>
      </c>
    </row>
    <row r="6" spans="1:19" s="34" customFormat="1" ht="27" customHeight="1">
      <c r="A6" s="28">
        <v>2</v>
      </c>
      <c r="B6" s="29" t="str">
        <f>'2019 OKC Results'!C30</f>
        <v>Michael</v>
      </c>
      <c r="C6" s="29" t="str">
        <f>'2019 OKC Results'!D30</f>
        <v>TAYLER</v>
      </c>
      <c r="D6" s="29" t="str">
        <f>'2019 OKC Results'!E30</f>
        <v>K1M</v>
      </c>
      <c r="E6" s="29" t="str">
        <f>'2019 OKC Results'!F30</f>
        <v>SR</v>
      </c>
      <c r="F6" s="53">
        <f>'2019 OKC Results'!G30</f>
        <v>94.99</v>
      </c>
      <c r="G6" s="30">
        <f t="shared" si="0"/>
        <v>109.51118284528476</v>
      </c>
      <c r="H6" s="31">
        <f t="shared" si="1"/>
        <v>2</v>
      </c>
      <c r="I6" s="30">
        <f>'2019 OKC Results'!H30</f>
        <v>89.97</v>
      </c>
      <c r="J6" s="30">
        <f t="shared" si="2"/>
        <v>104.68931812892717</v>
      </c>
      <c r="K6" s="31">
        <f t="shared" si="3"/>
        <v>2</v>
      </c>
      <c r="L6" s="30">
        <f>'2019 OKC Results'!I30</f>
        <v>92.66</v>
      </c>
      <c r="M6" s="30">
        <f t="shared" si="4"/>
        <v>100</v>
      </c>
      <c r="N6" s="31">
        <f t="shared" si="5"/>
        <v>0</v>
      </c>
      <c r="O6" s="30">
        <f>'2019 OKC Results'!J30</f>
        <v>94.47</v>
      </c>
      <c r="P6" s="30">
        <f t="shared" si="6"/>
        <v>104.27152317880794</v>
      </c>
      <c r="Q6" s="31">
        <f t="shared" si="7"/>
        <v>2</v>
      </c>
      <c r="R6" s="32">
        <f t="shared" si="8"/>
        <v>308.96084130773511</v>
      </c>
      <c r="S6" s="33">
        <f t="shared" si="9"/>
        <v>4</v>
      </c>
    </row>
    <row r="7" spans="1:19" s="34" customFormat="1" ht="27" customHeight="1">
      <c r="A7" s="28">
        <v>3</v>
      </c>
      <c r="B7" s="29" t="str">
        <f>'2019 OKC Results'!C28</f>
        <v>Trevor</v>
      </c>
      <c r="C7" s="29" t="str">
        <f>'2019 OKC Results'!D28</f>
        <v>BOYD</v>
      </c>
      <c r="D7" s="29" t="str">
        <f>'2019 OKC Results'!E28</f>
        <v>K1M</v>
      </c>
      <c r="E7" s="29" t="str">
        <f>'2019 OKC Results'!F28</f>
        <v>U23</v>
      </c>
      <c r="F7" s="53">
        <f>'2019 OKC Results'!G28</f>
        <v>105.66</v>
      </c>
      <c r="G7" s="30">
        <f t="shared" si="0"/>
        <v>121.81231265851973</v>
      </c>
      <c r="H7" s="31">
        <f t="shared" si="1"/>
        <v>3</v>
      </c>
      <c r="I7" s="30">
        <f>'2019 OKC Results'!H28</f>
        <v>102.85</v>
      </c>
      <c r="J7" s="30">
        <f t="shared" si="2"/>
        <v>119.67651850127996</v>
      </c>
      <c r="K7" s="31">
        <f t="shared" si="3"/>
        <v>5</v>
      </c>
      <c r="L7" s="30">
        <f>'2019 OKC Results'!I28</f>
        <v>113.59</v>
      </c>
      <c r="M7" s="30">
        <f t="shared" si="4"/>
        <v>122.58795596805527</v>
      </c>
      <c r="N7" s="31">
        <f t="shared" si="5"/>
        <v>4</v>
      </c>
      <c r="O7" s="30">
        <f>'2019 OKC Results'!J28</f>
        <v>110.45</v>
      </c>
      <c r="P7" s="30">
        <f t="shared" si="6"/>
        <v>121.90949227373069</v>
      </c>
      <c r="Q7" s="31">
        <f t="shared" si="7"/>
        <v>3</v>
      </c>
      <c r="R7" s="32">
        <f t="shared" si="8"/>
        <v>363.39832343353038</v>
      </c>
      <c r="S7" s="33">
        <f t="shared" si="9"/>
        <v>10</v>
      </c>
    </row>
    <row r="8" spans="1:19" s="34" customFormat="1" ht="27" customHeight="1">
      <c r="A8" s="28">
        <v>4</v>
      </c>
      <c r="B8" s="29" t="str">
        <f>'2019 OKC Results'!C27</f>
        <v>Keenan</v>
      </c>
      <c r="C8" s="29" t="str">
        <f>'2019 OKC Results'!D27</f>
        <v>SIMPSON</v>
      </c>
      <c r="D8" s="29" t="str">
        <f>'2019 OKC Results'!E27</f>
        <v>K1M</v>
      </c>
      <c r="E8" s="29" t="str">
        <f>'2019 OKC Results'!F27</f>
        <v>U23</v>
      </c>
      <c r="F8" s="53">
        <f>'2019 OKC Results'!G27</f>
        <v>214.95</v>
      </c>
      <c r="G8" s="30">
        <f t="shared" si="0"/>
        <v>247.80954576896471</v>
      </c>
      <c r="H8" s="31">
        <f t="shared" si="1"/>
        <v>11</v>
      </c>
      <c r="I8" s="30">
        <f>'2019 OKC Results'!H27</f>
        <v>95.02</v>
      </c>
      <c r="J8" s="30">
        <f t="shared" si="2"/>
        <v>110.56551082150337</v>
      </c>
      <c r="K8" s="31">
        <f t="shared" si="3"/>
        <v>3</v>
      </c>
      <c r="L8" s="30">
        <f>'2019 OKC Results'!I27</f>
        <v>101.5</v>
      </c>
      <c r="M8" s="30">
        <f t="shared" si="4"/>
        <v>109.54025469458234</v>
      </c>
      <c r="N8" s="31">
        <f t="shared" si="5"/>
        <v>3</v>
      </c>
      <c r="O8" s="30">
        <f>'2019 OKC Results'!J27</f>
        <v>115.74</v>
      </c>
      <c r="P8" s="30">
        <f t="shared" si="6"/>
        <v>127.74834437086093</v>
      </c>
      <c r="Q8" s="31">
        <f t="shared" si="7"/>
        <v>6</v>
      </c>
      <c r="R8" s="32">
        <f t="shared" si="8"/>
        <v>347.85410988694667</v>
      </c>
      <c r="S8" s="33">
        <f t="shared" si="9"/>
        <v>12</v>
      </c>
    </row>
    <row r="9" spans="1:19" s="34" customFormat="1" ht="27" customHeight="1">
      <c r="A9" s="28">
        <v>5</v>
      </c>
      <c r="B9" s="29" t="str">
        <f>'2019 OKC Results'!C20</f>
        <v>Mael</v>
      </c>
      <c r="C9" s="29" t="str">
        <f>'2019 OKC Results'!D20</f>
        <v>RIVARD</v>
      </c>
      <c r="D9" s="29" t="str">
        <f>'2019 OKC Results'!E20</f>
        <v>K1M</v>
      </c>
      <c r="E9" s="29" t="str">
        <f>'2019 OKC Results'!F20</f>
        <v>J</v>
      </c>
      <c r="F9" s="53">
        <f>'2019 OKC Results'!G20</f>
        <v>110.66</v>
      </c>
      <c r="G9" s="30">
        <f t="shared" si="0"/>
        <v>127.57666589808623</v>
      </c>
      <c r="H9" s="31">
        <f t="shared" si="1"/>
        <v>5</v>
      </c>
      <c r="I9" s="30">
        <f>'2019 OKC Results'!H20</f>
        <v>100.9</v>
      </c>
      <c r="J9" s="30">
        <f t="shared" si="2"/>
        <v>117.40749360018619</v>
      </c>
      <c r="K9" s="31">
        <f t="shared" si="3"/>
        <v>4</v>
      </c>
      <c r="L9" s="30">
        <f>'2019 OKC Results'!I20</f>
        <v>121.63</v>
      </c>
      <c r="M9" s="30">
        <f t="shared" si="4"/>
        <v>131.26483919706453</v>
      </c>
      <c r="N9" s="31">
        <f t="shared" si="5"/>
        <v>5</v>
      </c>
      <c r="O9" s="30">
        <f>'2019 OKC Results'!J20</f>
        <v>114.21</v>
      </c>
      <c r="P9" s="30">
        <f t="shared" si="6"/>
        <v>126.05960264900662</v>
      </c>
      <c r="Q9" s="31">
        <f t="shared" si="7"/>
        <v>4</v>
      </c>
      <c r="R9" s="32">
        <f t="shared" si="8"/>
        <v>371.04376214727898</v>
      </c>
      <c r="S9" s="33">
        <f t="shared" si="9"/>
        <v>13</v>
      </c>
    </row>
    <row r="10" spans="1:19" s="34" customFormat="1" ht="27" customHeight="1">
      <c r="A10" s="28">
        <v>6</v>
      </c>
      <c r="B10" s="29" t="str">
        <f>'2019 OKC Results'!C29</f>
        <v>Austin</v>
      </c>
      <c r="C10" s="29" t="str">
        <f>'2019 OKC Results'!D29</f>
        <v>ATKINS</v>
      </c>
      <c r="D10" s="29" t="str">
        <f>'2019 OKC Results'!E29</f>
        <v>K1M</v>
      </c>
      <c r="E10" s="29" t="str">
        <f>'2019 OKC Results'!F29</f>
        <v>U23</v>
      </c>
      <c r="F10" s="53">
        <f>'2019 OKC Results'!G29</f>
        <v>107.7</v>
      </c>
      <c r="G10" s="30">
        <f t="shared" si="0"/>
        <v>124.16416878026286</v>
      </c>
      <c r="H10" s="31">
        <f t="shared" si="1"/>
        <v>4</v>
      </c>
      <c r="I10" s="30">
        <f>'2019 OKC Results'!H29</f>
        <v>115.63</v>
      </c>
      <c r="J10" s="30">
        <f t="shared" si="2"/>
        <v>134.54735862229464</v>
      </c>
      <c r="K10" s="31">
        <f t="shared" si="3"/>
        <v>7</v>
      </c>
      <c r="L10" s="30">
        <f>'2019 OKC Results'!I29</f>
        <v>141.88999999999999</v>
      </c>
      <c r="M10" s="30">
        <f t="shared" si="4"/>
        <v>153.12972156270234</v>
      </c>
      <c r="N10" s="31">
        <f t="shared" si="5"/>
        <v>7</v>
      </c>
      <c r="O10" s="30">
        <f>'2019 OKC Results'!J29</f>
        <v>114.3</v>
      </c>
      <c r="P10" s="30">
        <f t="shared" si="6"/>
        <v>126.158940397351</v>
      </c>
      <c r="Q10" s="31">
        <f t="shared" si="7"/>
        <v>5</v>
      </c>
      <c r="R10" s="32">
        <f t="shared" si="8"/>
        <v>384.87046779990851</v>
      </c>
      <c r="S10" s="33">
        <f t="shared" si="9"/>
        <v>16</v>
      </c>
    </row>
    <row r="11" spans="1:19" s="34" customFormat="1" ht="27" customHeight="1">
      <c r="A11" s="28">
        <v>7</v>
      </c>
      <c r="B11" s="29" t="str">
        <f>'2019 OKC Results'!C26</f>
        <v>Alex</v>
      </c>
      <c r="C11" s="29" t="str">
        <f>'2019 OKC Results'!D26</f>
        <v>BALDONI</v>
      </c>
      <c r="D11" s="29" t="str">
        <f>'2019 OKC Results'!E26</f>
        <v>K1M</v>
      </c>
      <c r="E11" s="29" t="str">
        <f>'2019 OKC Results'!F26</f>
        <v>J</v>
      </c>
      <c r="F11" s="53">
        <f>'2019 OKC Results'!G26</f>
        <v>117.49</v>
      </c>
      <c r="G11" s="30">
        <f t="shared" si="0"/>
        <v>135.45077242333409</v>
      </c>
      <c r="H11" s="31">
        <f t="shared" si="1"/>
        <v>6</v>
      </c>
      <c r="I11" s="30">
        <f>'2019 OKC Results'!H26</f>
        <v>111.82</v>
      </c>
      <c r="J11" s="30">
        <f t="shared" si="2"/>
        <v>130.11403304631136</v>
      </c>
      <c r="K11" s="31">
        <f t="shared" si="3"/>
        <v>6</v>
      </c>
      <c r="L11" s="30">
        <f>'2019 OKC Results'!I26</f>
        <v>151.16999999999999</v>
      </c>
      <c r="M11" s="30">
        <f t="shared" si="4"/>
        <v>163.14483056334987</v>
      </c>
      <c r="N11" s="31">
        <f t="shared" si="5"/>
        <v>8</v>
      </c>
      <c r="O11" s="30">
        <f>'2019 OKC Results'!J26</f>
        <v>123.18</v>
      </c>
      <c r="P11" s="30">
        <f t="shared" si="6"/>
        <v>135.96026490066225</v>
      </c>
      <c r="Q11" s="31">
        <f t="shared" si="7"/>
        <v>8</v>
      </c>
      <c r="R11" s="32">
        <f t="shared" si="8"/>
        <v>401.52507037030773</v>
      </c>
      <c r="S11" s="33">
        <f t="shared" si="9"/>
        <v>20</v>
      </c>
    </row>
    <row r="12" spans="1:19" s="34" customFormat="1" ht="27" customHeight="1">
      <c r="A12" s="28">
        <v>8</v>
      </c>
      <c r="B12" s="29" t="str">
        <f>'2019 OKC Results'!C22</f>
        <v>Jean-Benoit</v>
      </c>
      <c r="C12" s="29" t="str">
        <f>'2019 OKC Results'!D22</f>
        <v>LEMAY</v>
      </c>
      <c r="D12" s="29" t="str">
        <f>'2019 OKC Results'!E22</f>
        <v>K1M</v>
      </c>
      <c r="E12" s="29" t="str">
        <f>'2019 OKC Results'!F22</f>
        <v>J</v>
      </c>
      <c r="F12" s="53">
        <f>'2019 OKC Results'!G22</f>
        <v>120.72</v>
      </c>
      <c r="G12" s="30">
        <f t="shared" si="0"/>
        <v>139.1745446160941</v>
      </c>
      <c r="H12" s="31">
        <f t="shared" si="1"/>
        <v>7</v>
      </c>
      <c r="I12" s="30">
        <f>'2019 OKC Results'!H22</f>
        <v>116.72</v>
      </c>
      <c r="J12" s="30">
        <f t="shared" si="2"/>
        <v>135.81568536188038</v>
      </c>
      <c r="K12" s="31">
        <f t="shared" si="3"/>
        <v>8</v>
      </c>
      <c r="L12" s="30">
        <f>'2019 OKC Results'!I22</f>
        <v>166.86</v>
      </c>
      <c r="M12" s="30">
        <f t="shared" si="4"/>
        <v>180.0777034319016</v>
      </c>
      <c r="N12" s="31">
        <f t="shared" si="5"/>
        <v>9</v>
      </c>
      <c r="O12" s="30">
        <f>'2019 OKC Results'!J22</f>
        <v>116.59</v>
      </c>
      <c r="P12" s="30">
        <f t="shared" si="6"/>
        <v>128.68653421633556</v>
      </c>
      <c r="Q12" s="31">
        <f t="shared" si="7"/>
        <v>7</v>
      </c>
      <c r="R12" s="32">
        <f t="shared" si="8"/>
        <v>403.67676419431007</v>
      </c>
      <c r="S12" s="33">
        <f t="shared" si="9"/>
        <v>22</v>
      </c>
    </row>
    <row r="13" spans="1:19" s="34" customFormat="1" ht="27" customHeight="1">
      <c r="A13" s="28">
        <v>9</v>
      </c>
      <c r="B13" s="29" t="str">
        <f>'2019 OKC Results'!C25</f>
        <v>Mark</v>
      </c>
      <c r="C13" s="29" t="str">
        <f>'2019 OKC Results'!D25</f>
        <v>ZIELONKA</v>
      </c>
      <c r="D13" s="29" t="str">
        <f>'2019 OKC Results'!E25</f>
        <v>K1M</v>
      </c>
      <c r="E13" s="29" t="str">
        <f>'2019 OKC Results'!F25</f>
        <v>J</v>
      </c>
      <c r="F13" s="53">
        <f>'2019 OKC Results'!G25</f>
        <v>131.44999999999999</v>
      </c>
      <c r="G13" s="30">
        <f t="shared" si="0"/>
        <v>151.54484666820383</v>
      </c>
      <c r="H13" s="31">
        <f t="shared" si="1"/>
        <v>9</v>
      </c>
      <c r="I13" s="30">
        <f>'2019 OKC Results'!H25</f>
        <v>127.96</v>
      </c>
      <c r="J13" s="30">
        <f t="shared" si="2"/>
        <v>148.89457761228763</v>
      </c>
      <c r="K13" s="31">
        <f t="shared" si="3"/>
        <v>9</v>
      </c>
      <c r="L13" s="30">
        <f>'2019 OKC Results'!I25</f>
        <v>141.22999999999999</v>
      </c>
      <c r="M13" s="30">
        <f t="shared" si="4"/>
        <v>152.41744010360458</v>
      </c>
      <c r="N13" s="31">
        <f t="shared" si="5"/>
        <v>6</v>
      </c>
      <c r="O13" s="30">
        <f>'2019 OKC Results'!J25</f>
        <v>141.19</v>
      </c>
      <c r="P13" s="30">
        <f t="shared" si="6"/>
        <v>155.83885209713026</v>
      </c>
      <c r="Q13" s="31">
        <f t="shared" si="7"/>
        <v>10</v>
      </c>
      <c r="R13" s="32">
        <f t="shared" si="8"/>
        <v>452.85686438409607</v>
      </c>
      <c r="S13" s="33">
        <f t="shared" si="9"/>
        <v>24</v>
      </c>
    </row>
    <row r="14" spans="1:19" s="34" customFormat="1" ht="27" customHeight="1">
      <c r="A14" s="28">
        <v>10</v>
      </c>
      <c r="B14" s="29" t="str">
        <f>'2019 OKC Results'!C21</f>
        <v>Jakob</v>
      </c>
      <c r="C14" s="29" t="str">
        <f>'2019 OKC Results'!D21</f>
        <v>KRYWORUCHKO</v>
      </c>
      <c r="D14" s="29" t="str">
        <f>'2019 OKC Results'!E21</f>
        <v>K1M</v>
      </c>
      <c r="E14" s="29" t="str">
        <f>'2019 OKC Results'!F21</f>
        <v>J</v>
      </c>
      <c r="F14" s="53">
        <f>'2019 OKC Results'!G21</f>
        <v>128.74</v>
      </c>
      <c r="G14" s="30">
        <f t="shared" si="0"/>
        <v>148.42056721235878</v>
      </c>
      <c r="H14" s="31">
        <f t="shared" si="1"/>
        <v>8</v>
      </c>
      <c r="I14" s="30">
        <f>'2019 OKC Results'!H21</f>
        <v>133.30000000000001</v>
      </c>
      <c r="J14" s="30">
        <f t="shared" si="2"/>
        <v>155.1082150337445</v>
      </c>
      <c r="K14" s="31">
        <f t="shared" si="3"/>
        <v>10</v>
      </c>
      <c r="L14" s="30">
        <f>'2019 OKC Results'!I21</f>
        <v>999</v>
      </c>
      <c r="M14" s="30">
        <f t="shared" si="4"/>
        <v>1078.1351176343621</v>
      </c>
      <c r="N14" s="31">
        <f t="shared" si="5"/>
        <v>12</v>
      </c>
      <c r="O14" s="30">
        <f>'2019 OKC Results'!J21</f>
        <v>137.82</v>
      </c>
      <c r="P14" s="30">
        <f t="shared" si="6"/>
        <v>152.11920529801324</v>
      </c>
      <c r="Q14" s="31">
        <f t="shared" si="7"/>
        <v>9</v>
      </c>
      <c r="R14" s="32">
        <f t="shared" si="8"/>
        <v>455.6479875441164</v>
      </c>
      <c r="S14" s="33">
        <f t="shared" si="9"/>
        <v>27</v>
      </c>
    </row>
    <row r="15" spans="1:19" s="34" customFormat="1" ht="27" customHeight="1">
      <c r="A15" s="28">
        <v>11</v>
      </c>
      <c r="B15" s="29" t="str">
        <f>'2019 OKC Results'!C23</f>
        <v>Lucas</v>
      </c>
      <c r="C15" s="29" t="str">
        <f>'2019 OKC Results'!D23</f>
        <v>HATELY</v>
      </c>
      <c r="D15" s="29" t="str">
        <f>'2019 OKC Results'!E23</f>
        <v>K1M</v>
      </c>
      <c r="E15" s="29" t="str">
        <f>'2019 OKC Results'!F23</f>
        <v>J</v>
      </c>
      <c r="F15" s="53">
        <f>'2019 OKC Results'!G23</f>
        <v>155.06</v>
      </c>
      <c r="G15" s="30">
        <f t="shared" si="0"/>
        <v>178.76412266543696</v>
      </c>
      <c r="H15" s="31">
        <f t="shared" si="1"/>
        <v>10</v>
      </c>
      <c r="I15" s="30">
        <f>'2019 OKC Results'!H23</f>
        <v>156.4</v>
      </c>
      <c r="J15" s="30">
        <f t="shared" si="2"/>
        <v>181.9874330928555</v>
      </c>
      <c r="K15" s="31">
        <f t="shared" si="3"/>
        <v>11</v>
      </c>
      <c r="L15" s="30">
        <f>'2019 OKC Results'!I23</f>
        <v>276.3</v>
      </c>
      <c r="M15" s="30">
        <f t="shared" si="4"/>
        <v>298.18691992229657</v>
      </c>
      <c r="N15" s="31">
        <f t="shared" si="5"/>
        <v>10</v>
      </c>
      <c r="O15" s="30">
        <f>'2019 OKC Results'!J23</f>
        <v>252.36</v>
      </c>
      <c r="P15" s="30">
        <f t="shared" si="6"/>
        <v>278.54304635761594</v>
      </c>
      <c r="Q15" s="31">
        <f t="shared" si="7"/>
        <v>11</v>
      </c>
      <c r="R15" s="32">
        <f t="shared" si="8"/>
        <v>639.29460211590845</v>
      </c>
      <c r="S15" s="33">
        <f t="shared" si="9"/>
        <v>31</v>
      </c>
    </row>
    <row r="16" spans="1:19" s="34" customFormat="1" ht="27" customHeight="1">
      <c r="A16" s="28">
        <v>12</v>
      </c>
      <c r="B16" s="29" t="str">
        <f>'2019 OKC Results'!C24</f>
        <v>Reece</v>
      </c>
      <c r="C16" s="29" t="str">
        <f>'2019 OKC Results'!D24</f>
        <v>HATELY</v>
      </c>
      <c r="D16" s="29" t="str">
        <f>'2019 OKC Results'!E24</f>
        <v>K1M</v>
      </c>
      <c r="E16" s="29" t="str">
        <f>'2019 OKC Results'!F24</f>
        <v>J</v>
      </c>
      <c r="F16" s="53">
        <f>'2019 OKC Results'!G24</f>
        <v>243.75</v>
      </c>
      <c r="G16" s="30">
        <f t="shared" si="0"/>
        <v>281.01222042886792</v>
      </c>
      <c r="H16" s="31">
        <f t="shared" si="1"/>
        <v>12</v>
      </c>
      <c r="I16" s="30">
        <f>'2019 OKC Results'!H24</f>
        <v>214.66</v>
      </c>
      <c r="J16" s="30">
        <f t="shared" si="2"/>
        <v>249.77891552245754</v>
      </c>
      <c r="K16" s="31">
        <f t="shared" si="3"/>
        <v>12</v>
      </c>
      <c r="L16" s="30">
        <f>'2019 OKC Results'!I24</f>
        <v>493.95</v>
      </c>
      <c r="M16" s="30">
        <f t="shared" si="4"/>
        <v>533.07791927476796</v>
      </c>
      <c r="N16" s="31">
        <f t="shared" si="5"/>
        <v>11</v>
      </c>
      <c r="O16" s="30">
        <f>'2019 OKC Results'!J24</f>
        <v>447.33</v>
      </c>
      <c r="P16" s="30">
        <f t="shared" si="6"/>
        <v>493.74172185430467</v>
      </c>
      <c r="Q16" s="31">
        <f t="shared" si="7"/>
        <v>12</v>
      </c>
      <c r="R16" s="32">
        <f t="shared" si="8"/>
        <v>1024.5328578056301</v>
      </c>
      <c r="S16" s="33">
        <f t="shared" si="9"/>
        <v>35</v>
      </c>
    </row>
    <row r="17" spans="1:19" ht="27.95" customHeight="1">
      <c r="A17" s="35" t="s">
        <v>136</v>
      </c>
      <c r="B17" s="34"/>
      <c r="C17" s="34"/>
      <c r="D17" s="36"/>
      <c r="E17" s="36"/>
      <c r="F17" s="37">
        <f>MIN('2019 OKC Results'!G3:G37)</f>
        <v>86.74</v>
      </c>
      <c r="G17" s="37"/>
      <c r="H17" s="38"/>
      <c r="I17" s="37">
        <f>MIN('2019 OKC Results'!H3:H37)</f>
        <v>85.94</v>
      </c>
      <c r="J17" s="37"/>
      <c r="K17" s="38"/>
      <c r="L17" s="37">
        <f>MIN('2019 OKC Results'!I3:I37)</f>
        <v>92.66</v>
      </c>
      <c r="M17" s="37"/>
      <c r="N17" s="38"/>
      <c r="O17" s="37">
        <f>MIN('2019 OKC Results'!J3:J37)</f>
        <v>90.6</v>
      </c>
      <c r="P17" s="37"/>
      <c r="Q17" s="38"/>
      <c r="R17" s="38"/>
      <c r="S17" s="39"/>
    </row>
    <row r="18" spans="1:19" ht="27" customHeight="1">
      <c r="A18" s="35" t="s">
        <v>75</v>
      </c>
      <c r="B18" s="40">
        <v>105</v>
      </c>
      <c r="C18" s="108" t="s">
        <v>88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1:19" ht="28.15" customHeight="1">
      <c r="A19" s="100" t="s">
        <v>36</v>
      </c>
      <c r="B19" s="101"/>
      <c r="C19" s="101"/>
      <c r="D19" s="101"/>
      <c r="E19" s="101"/>
      <c r="F19" s="102"/>
      <c r="G19" s="102"/>
      <c r="H19" s="103"/>
      <c r="I19" s="102"/>
      <c r="J19" s="102"/>
      <c r="K19" s="103"/>
      <c r="L19" s="102"/>
      <c r="M19" s="102"/>
      <c r="N19" s="103"/>
      <c r="O19" s="102"/>
      <c r="P19" s="102"/>
      <c r="Q19" s="103"/>
      <c r="R19" s="103"/>
      <c r="S19" s="104"/>
    </row>
  </sheetData>
  <sortState ref="A17:T19">
    <sortCondition ref="A19:A21"/>
    <sortCondition ref="R19:R21"/>
  </sortState>
  <mergeCells count="5">
    <mergeCell ref="A19:S19"/>
    <mergeCell ref="A3:S3"/>
    <mergeCell ref="A2:S2"/>
    <mergeCell ref="A1:S1"/>
    <mergeCell ref="C18:S18"/>
  </mergeCells>
  <phoneticPr fontId="2" type="noConversion"/>
  <conditionalFormatting sqref="J5:J16 M5:M16 P5:P16 G5:G16">
    <cfRule type="cellIs" dxfId="366" priority="535" stopIfTrue="1" operator="lessThan">
      <formula>$B$18</formula>
    </cfRule>
  </conditionalFormatting>
  <pageMargins left="0.75" right="0.75" top="1" bottom="1" header="0.5" footer="0.5"/>
  <pageSetup paperSize="9" scale="52" orientation="landscape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7"/>
  <sheetViews>
    <sheetView topLeftCell="A4" zoomScale="80" zoomScaleNormal="80" workbookViewId="0">
      <selection activeCell="H31" sqref="H31"/>
    </sheetView>
  </sheetViews>
  <sheetFormatPr defaultColWidth="17.140625" defaultRowHeight="12.75" customHeight="1"/>
  <cols>
    <col min="1" max="1" width="13.42578125" style="21" customWidth="1"/>
    <col min="2" max="2" width="13" style="21" customWidth="1"/>
    <col min="3" max="3" width="22.85546875" style="21" customWidth="1"/>
    <col min="4" max="4" width="10.42578125" style="21" customWidth="1"/>
    <col min="5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07" t="str">
        <f>K1M!A1</f>
        <v>canoe kayak canada 2019 team trials ranking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37.5" customHeight="1">
      <c r="A3" s="105" t="s">
        <v>72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36">
      <c r="A4" s="22" t="s">
        <v>28</v>
      </c>
      <c r="B4" s="23" t="s">
        <v>11</v>
      </c>
      <c r="C4" s="24" t="s">
        <v>8</v>
      </c>
      <c r="D4" s="24" t="s">
        <v>85</v>
      </c>
      <c r="E4" s="24" t="s">
        <v>25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</row>
    <row r="5" spans="1:19" s="34" customFormat="1" ht="27" customHeight="1">
      <c r="A5" s="28">
        <v>1</v>
      </c>
      <c r="B5" s="29" t="str">
        <f>'2019 OKC Results'!C28</f>
        <v>Trevor</v>
      </c>
      <c r="C5" s="29" t="str">
        <f>'2019 OKC Results'!D28</f>
        <v>BOYD</v>
      </c>
      <c r="D5" s="29" t="str">
        <f>'2019 OKC Results'!E28</f>
        <v>K1M</v>
      </c>
      <c r="E5" s="29" t="str">
        <f>'2019 OKC Results'!F28</f>
        <v>U23</v>
      </c>
      <c r="F5" s="53">
        <f>'2019 OKC Results'!G28</f>
        <v>105.66</v>
      </c>
      <c r="G5" s="30">
        <f t="shared" ref="G5:G14" si="0">(F5/F$15)*100</f>
        <v>100</v>
      </c>
      <c r="H5" s="31">
        <f t="shared" ref="H5:H14" si="1">IF((RANK(F5,F$5:F$14,1)=1),0,RANK(F5,F$5:F$14,1))</f>
        <v>0</v>
      </c>
      <c r="I5" s="30">
        <f>'2019 OKC Results'!H28</f>
        <v>102.85</v>
      </c>
      <c r="J5" s="30">
        <f t="shared" ref="J5:J14" si="2">(I5/I$15)*100</f>
        <v>108.24037044832666</v>
      </c>
      <c r="K5" s="31">
        <f t="shared" ref="K5:K14" si="3">IF((RANK(I5,I$5:I$14,1)=1),0,RANK(I5,I$5:I$14,1))</f>
        <v>3</v>
      </c>
      <c r="L5" s="30">
        <f>'2019 OKC Results'!I28</f>
        <v>113.59</v>
      </c>
      <c r="M5" s="30">
        <f t="shared" ref="M5:M14" si="4">(L5/L$15)*100</f>
        <v>111.91133004926108</v>
      </c>
      <c r="N5" s="31">
        <f t="shared" ref="N5:N14" si="5">IF((RANK(L5,L$5:L$14,1)=1),0,RANK(L5,L$5:L$14,1))</f>
        <v>2</v>
      </c>
      <c r="O5" s="30">
        <f>'2019 OKC Results'!J28</f>
        <v>110.45</v>
      </c>
      <c r="P5" s="30">
        <f t="shared" ref="P5:P14" si="6">(O5/O$15)*100</f>
        <v>100</v>
      </c>
      <c r="Q5" s="31">
        <f t="shared" ref="Q5:Q14" si="7">IF((RANK(O5,O$5:O$14,1)=1),0,RANK(O5,O$5:O$14,1))</f>
        <v>0</v>
      </c>
      <c r="R5" s="32">
        <f t="shared" ref="R5:R14" si="8">IF((COUNT(G5,J5,M5,P5)&gt;3),(SUM(G5,J5,M5,P5)-MAX(G5,J5,M5,P5)),SUM(G5,J5,M5,P5))</f>
        <v>308.24037044832664</v>
      </c>
      <c r="S5" s="33">
        <f t="shared" ref="S5:S14" si="9">IF((COUNT(H5,K5,N5,Q5)&gt;3),(SUM(H5,K5,N5,Q5)-MAX(H5,K5,N5,Q5)),SUM(H5,K5,N5,Q5))</f>
        <v>2</v>
      </c>
    </row>
    <row r="6" spans="1:19" s="34" customFormat="1" ht="27" customHeight="1">
      <c r="A6" s="28">
        <v>2</v>
      </c>
      <c r="B6" s="29" t="str">
        <f>'2019 OKC Results'!C27</f>
        <v>Keenan</v>
      </c>
      <c r="C6" s="29" t="str">
        <f>'2019 OKC Results'!D27</f>
        <v>SIMPSON</v>
      </c>
      <c r="D6" s="29" t="str">
        <f>'2019 OKC Results'!E27</f>
        <v>K1M</v>
      </c>
      <c r="E6" s="29" t="str">
        <f>'2019 OKC Results'!F27</f>
        <v>U23</v>
      </c>
      <c r="F6" s="53">
        <f>'2019 OKC Results'!G27</f>
        <v>214.95</v>
      </c>
      <c r="G6" s="30">
        <f t="shared" si="0"/>
        <v>203.43554798409994</v>
      </c>
      <c r="H6" s="31">
        <f t="shared" si="1"/>
        <v>9</v>
      </c>
      <c r="I6" s="30">
        <f>'2019 OKC Results'!H27</f>
        <v>95.02</v>
      </c>
      <c r="J6" s="30">
        <f t="shared" si="2"/>
        <v>100</v>
      </c>
      <c r="K6" s="31">
        <f t="shared" si="3"/>
        <v>0</v>
      </c>
      <c r="L6" s="30">
        <f>'2019 OKC Results'!I27</f>
        <v>101.5</v>
      </c>
      <c r="M6" s="30">
        <f t="shared" si="4"/>
        <v>100</v>
      </c>
      <c r="N6" s="31">
        <f t="shared" si="5"/>
        <v>0</v>
      </c>
      <c r="O6" s="30">
        <f>'2019 OKC Results'!J27</f>
        <v>115.74</v>
      </c>
      <c r="P6" s="30">
        <f t="shared" si="6"/>
        <v>104.7894975101856</v>
      </c>
      <c r="Q6" s="31">
        <f t="shared" si="7"/>
        <v>4</v>
      </c>
      <c r="R6" s="32">
        <f t="shared" si="8"/>
        <v>304.78949751018558</v>
      </c>
      <c r="S6" s="33">
        <f t="shared" si="9"/>
        <v>4</v>
      </c>
    </row>
    <row r="7" spans="1:19" s="34" customFormat="1" ht="27" customHeight="1">
      <c r="A7" s="28">
        <v>3</v>
      </c>
      <c r="B7" s="29" t="str">
        <f>'2019 OKC Results'!C20</f>
        <v>Mael</v>
      </c>
      <c r="C7" s="29" t="str">
        <f>'2019 OKC Results'!D20</f>
        <v>RIVARD</v>
      </c>
      <c r="D7" s="29" t="str">
        <f>'2019 OKC Results'!E20</f>
        <v>K1M</v>
      </c>
      <c r="E7" s="29" t="str">
        <f>'2019 OKC Results'!F20</f>
        <v>J</v>
      </c>
      <c r="F7" s="53">
        <f>'2019 OKC Results'!G20</f>
        <v>110.66</v>
      </c>
      <c r="G7" s="30">
        <f t="shared" si="0"/>
        <v>104.73215975771342</v>
      </c>
      <c r="H7" s="31">
        <f t="shared" si="1"/>
        <v>3</v>
      </c>
      <c r="I7" s="30">
        <f>'2019 OKC Results'!H20</f>
        <v>100.9</v>
      </c>
      <c r="J7" s="30">
        <f t="shared" si="2"/>
        <v>106.18817091138708</v>
      </c>
      <c r="K7" s="31">
        <f t="shared" si="3"/>
        <v>2</v>
      </c>
      <c r="L7" s="30">
        <f>'2019 OKC Results'!I20</f>
        <v>121.63</v>
      </c>
      <c r="M7" s="30">
        <f t="shared" si="4"/>
        <v>119.83251231527092</v>
      </c>
      <c r="N7" s="31">
        <f t="shared" si="5"/>
        <v>3</v>
      </c>
      <c r="O7" s="30">
        <f>'2019 OKC Results'!J20</f>
        <v>114.21</v>
      </c>
      <c r="P7" s="30">
        <f t="shared" si="6"/>
        <v>103.40425531914892</v>
      </c>
      <c r="Q7" s="31">
        <f t="shared" si="7"/>
        <v>2</v>
      </c>
      <c r="R7" s="32">
        <f t="shared" si="8"/>
        <v>314.3245859882494</v>
      </c>
      <c r="S7" s="33">
        <f t="shared" si="9"/>
        <v>7</v>
      </c>
    </row>
    <row r="8" spans="1:19" s="34" customFormat="1" ht="27" customHeight="1">
      <c r="A8" s="28">
        <v>4</v>
      </c>
      <c r="B8" s="29" t="str">
        <f>'2019 OKC Results'!C29</f>
        <v>Austin</v>
      </c>
      <c r="C8" s="29" t="str">
        <f>'2019 OKC Results'!D29</f>
        <v>ATKINS</v>
      </c>
      <c r="D8" s="29" t="str">
        <f>'2019 OKC Results'!E29</f>
        <v>K1M</v>
      </c>
      <c r="E8" s="29" t="str">
        <f>'2019 OKC Results'!F29</f>
        <v>U23</v>
      </c>
      <c r="F8" s="53">
        <f>'2019 OKC Results'!G29</f>
        <v>107.7</v>
      </c>
      <c r="G8" s="30">
        <f t="shared" si="0"/>
        <v>101.93072118114708</v>
      </c>
      <c r="H8" s="31">
        <f t="shared" si="1"/>
        <v>2</v>
      </c>
      <c r="I8" s="30">
        <f>'2019 OKC Results'!H29</f>
        <v>115.63</v>
      </c>
      <c r="J8" s="30">
        <f t="shared" si="2"/>
        <v>121.69017049042307</v>
      </c>
      <c r="K8" s="31">
        <f t="shared" si="3"/>
        <v>5</v>
      </c>
      <c r="L8" s="30">
        <f>'2019 OKC Results'!I29</f>
        <v>141.88999999999999</v>
      </c>
      <c r="M8" s="30">
        <f t="shared" si="4"/>
        <v>139.79310344827584</v>
      </c>
      <c r="N8" s="31">
        <f t="shared" si="5"/>
        <v>5</v>
      </c>
      <c r="O8" s="30">
        <f>'2019 OKC Results'!J29</f>
        <v>114.3</v>
      </c>
      <c r="P8" s="30">
        <f t="shared" si="6"/>
        <v>103.48574015391578</v>
      </c>
      <c r="Q8" s="31">
        <f t="shared" si="7"/>
        <v>3</v>
      </c>
      <c r="R8" s="32">
        <f t="shared" si="8"/>
        <v>327.10663182548592</v>
      </c>
      <c r="S8" s="33">
        <f t="shared" si="9"/>
        <v>10</v>
      </c>
    </row>
    <row r="9" spans="1:19" s="34" customFormat="1" ht="27" customHeight="1">
      <c r="A9" s="28">
        <v>5</v>
      </c>
      <c r="B9" s="29" t="str">
        <f>'2019 OKC Results'!C26</f>
        <v>Alex</v>
      </c>
      <c r="C9" s="29" t="str">
        <f>'2019 OKC Results'!D26</f>
        <v>BALDONI</v>
      </c>
      <c r="D9" s="29" t="str">
        <f>'2019 OKC Results'!E26</f>
        <v>K1M</v>
      </c>
      <c r="E9" s="29" t="str">
        <f>'2019 OKC Results'!F26</f>
        <v>J</v>
      </c>
      <c r="F9" s="53">
        <f>'2019 OKC Results'!G26</f>
        <v>117.49</v>
      </c>
      <c r="G9" s="30">
        <f t="shared" si="0"/>
        <v>111.19628998674995</v>
      </c>
      <c r="H9" s="31">
        <f t="shared" si="1"/>
        <v>4</v>
      </c>
      <c r="I9" s="30">
        <f>'2019 OKC Results'!H26</f>
        <v>111.82</v>
      </c>
      <c r="J9" s="30">
        <f t="shared" si="2"/>
        <v>117.68048831824878</v>
      </c>
      <c r="K9" s="31">
        <f t="shared" si="3"/>
        <v>4</v>
      </c>
      <c r="L9" s="30">
        <f>'2019 OKC Results'!I26</f>
        <v>151.16999999999999</v>
      </c>
      <c r="M9" s="30">
        <f t="shared" si="4"/>
        <v>148.93596059113298</v>
      </c>
      <c r="N9" s="31">
        <f t="shared" si="5"/>
        <v>6</v>
      </c>
      <c r="O9" s="30">
        <f>'2019 OKC Results'!J26</f>
        <v>123.18</v>
      </c>
      <c r="P9" s="30">
        <f t="shared" si="6"/>
        <v>111.52557718424627</v>
      </c>
      <c r="Q9" s="31">
        <f t="shared" si="7"/>
        <v>6</v>
      </c>
      <c r="R9" s="32">
        <f t="shared" si="8"/>
        <v>340.402355489245</v>
      </c>
      <c r="S9" s="33">
        <f t="shared" si="9"/>
        <v>14</v>
      </c>
    </row>
    <row r="10" spans="1:19" s="34" customFormat="1" ht="27" customHeight="1">
      <c r="A10" s="28">
        <v>6</v>
      </c>
      <c r="B10" s="29" t="str">
        <f>'2019 OKC Results'!C22</f>
        <v>Jean-Benoit</v>
      </c>
      <c r="C10" s="29" t="str">
        <f>'2019 OKC Results'!D22</f>
        <v>LEMAY</v>
      </c>
      <c r="D10" s="29" t="str">
        <f>'2019 OKC Results'!E22</f>
        <v>K1M</v>
      </c>
      <c r="E10" s="29" t="str">
        <f>'2019 OKC Results'!F22</f>
        <v>J</v>
      </c>
      <c r="F10" s="53">
        <f>'2019 OKC Results'!G22</f>
        <v>120.72</v>
      </c>
      <c r="G10" s="30">
        <f t="shared" si="0"/>
        <v>114.25326519023282</v>
      </c>
      <c r="H10" s="31">
        <f t="shared" si="1"/>
        <v>5</v>
      </c>
      <c r="I10" s="30">
        <f>'2019 OKC Results'!H22</f>
        <v>116.72</v>
      </c>
      <c r="J10" s="30">
        <f t="shared" si="2"/>
        <v>122.83729741107136</v>
      </c>
      <c r="K10" s="31">
        <f t="shared" si="3"/>
        <v>6</v>
      </c>
      <c r="L10" s="30">
        <f>'2019 OKC Results'!I22</f>
        <v>166.86</v>
      </c>
      <c r="M10" s="30">
        <f t="shared" si="4"/>
        <v>164.39408866995075</v>
      </c>
      <c r="N10" s="31">
        <f t="shared" si="5"/>
        <v>7</v>
      </c>
      <c r="O10" s="30">
        <f>'2019 OKC Results'!J22</f>
        <v>116.59</v>
      </c>
      <c r="P10" s="30">
        <f t="shared" si="6"/>
        <v>105.55907650520598</v>
      </c>
      <c r="Q10" s="31">
        <f t="shared" si="7"/>
        <v>5</v>
      </c>
      <c r="R10" s="32">
        <f t="shared" si="8"/>
        <v>342.64963910651022</v>
      </c>
      <c r="S10" s="33">
        <f t="shared" si="9"/>
        <v>16</v>
      </c>
    </row>
    <row r="11" spans="1:19" s="34" customFormat="1" ht="27" customHeight="1">
      <c r="A11" s="28">
        <v>7</v>
      </c>
      <c r="B11" s="29" t="str">
        <f>'2019 OKC Results'!C25</f>
        <v>Mark</v>
      </c>
      <c r="C11" s="29" t="str">
        <f>'2019 OKC Results'!D25</f>
        <v>ZIELONKA</v>
      </c>
      <c r="D11" s="29" t="str">
        <f>'2019 OKC Results'!E25</f>
        <v>K1M</v>
      </c>
      <c r="E11" s="29" t="str">
        <f>'2019 OKC Results'!F25</f>
        <v>J</v>
      </c>
      <c r="F11" s="53">
        <f>'2019 OKC Results'!G25</f>
        <v>131.44999999999999</v>
      </c>
      <c r="G11" s="30">
        <f t="shared" si="0"/>
        <v>124.40848003028582</v>
      </c>
      <c r="H11" s="31">
        <f t="shared" si="1"/>
        <v>7</v>
      </c>
      <c r="I11" s="30">
        <f>'2019 OKC Results'!H25</f>
        <v>127.96</v>
      </c>
      <c r="J11" s="30">
        <f t="shared" si="2"/>
        <v>134.66638602399493</v>
      </c>
      <c r="K11" s="31">
        <f t="shared" si="3"/>
        <v>7</v>
      </c>
      <c r="L11" s="30">
        <f>'2019 OKC Results'!I25</f>
        <v>141.22999999999999</v>
      </c>
      <c r="M11" s="30">
        <f t="shared" si="4"/>
        <v>139.14285714285711</v>
      </c>
      <c r="N11" s="31">
        <f t="shared" si="5"/>
        <v>4</v>
      </c>
      <c r="O11" s="30">
        <f>'2019 OKC Results'!J25</f>
        <v>141.19</v>
      </c>
      <c r="P11" s="30">
        <f t="shared" si="6"/>
        <v>127.83159800814848</v>
      </c>
      <c r="Q11" s="31">
        <f t="shared" si="7"/>
        <v>8</v>
      </c>
      <c r="R11" s="32">
        <f t="shared" si="8"/>
        <v>386.90646406242922</v>
      </c>
      <c r="S11" s="33">
        <f t="shared" si="9"/>
        <v>18</v>
      </c>
    </row>
    <row r="12" spans="1:19" s="34" customFormat="1" ht="27" customHeight="1">
      <c r="A12" s="28">
        <v>8</v>
      </c>
      <c r="B12" s="29" t="str">
        <f>'2019 OKC Results'!C21</f>
        <v>Jakob</v>
      </c>
      <c r="C12" s="29" t="str">
        <f>'2019 OKC Results'!D21</f>
        <v>KRYWORUCHKO</v>
      </c>
      <c r="D12" s="29" t="str">
        <f>'2019 OKC Results'!E21</f>
        <v>K1M</v>
      </c>
      <c r="E12" s="29" t="str">
        <f>'2019 OKC Results'!F21</f>
        <v>J</v>
      </c>
      <c r="F12" s="53">
        <f>'2019 OKC Results'!G21</f>
        <v>128.74</v>
      </c>
      <c r="G12" s="30">
        <f t="shared" si="0"/>
        <v>121.84364944160515</v>
      </c>
      <c r="H12" s="31">
        <f t="shared" si="1"/>
        <v>6</v>
      </c>
      <c r="I12" s="30">
        <f>'2019 OKC Results'!H21</f>
        <v>133.30000000000001</v>
      </c>
      <c r="J12" s="30">
        <f t="shared" si="2"/>
        <v>140.28625552515263</v>
      </c>
      <c r="K12" s="31">
        <f t="shared" si="3"/>
        <v>8</v>
      </c>
      <c r="L12" s="30">
        <f>'2019 OKC Results'!I21</f>
        <v>999</v>
      </c>
      <c r="M12" s="30">
        <f t="shared" si="4"/>
        <v>984.23645320197045</v>
      </c>
      <c r="N12" s="31">
        <f t="shared" si="5"/>
        <v>10</v>
      </c>
      <c r="O12" s="30">
        <f>'2019 OKC Results'!J21</f>
        <v>137.82</v>
      </c>
      <c r="P12" s="30">
        <f t="shared" si="6"/>
        <v>124.78044363965594</v>
      </c>
      <c r="Q12" s="31">
        <f t="shared" si="7"/>
        <v>7</v>
      </c>
      <c r="R12" s="32">
        <f t="shared" si="8"/>
        <v>386.91034860641378</v>
      </c>
      <c r="S12" s="33">
        <f t="shared" si="9"/>
        <v>21</v>
      </c>
    </row>
    <row r="13" spans="1:19" s="34" customFormat="1" ht="27" customHeight="1">
      <c r="A13" s="28">
        <v>9</v>
      </c>
      <c r="B13" s="29" t="str">
        <f>'2019 OKC Results'!C23</f>
        <v>Lucas</v>
      </c>
      <c r="C13" s="29" t="str">
        <f>'2019 OKC Results'!D23</f>
        <v>HATELY</v>
      </c>
      <c r="D13" s="29" t="str">
        <f>'2019 OKC Results'!E23</f>
        <v>K1M</v>
      </c>
      <c r="E13" s="29" t="str">
        <f>'2019 OKC Results'!F23</f>
        <v>J</v>
      </c>
      <c r="F13" s="53">
        <f>'2019 OKC Results'!G23</f>
        <v>155.06</v>
      </c>
      <c r="G13" s="30">
        <f t="shared" si="0"/>
        <v>146.75373840620861</v>
      </c>
      <c r="H13" s="31">
        <f t="shared" si="1"/>
        <v>8</v>
      </c>
      <c r="I13" s="30">
        <f>'2019 OKC Results'!H23</f>
        <v>156.4</v>
      </c>
      <c r="J13" s="30">
        <f t="shared" si="2"/>
        <v>164.5969269627447</v>
      </c>
      <c r="K13" s="31">
        <f t="shared" si="3"/>
        <v>9</v>
      </c>
      <c r="L13" s="30">
        <f>'2019 OKC Results'!I23</f>
        <v>276.3</v>
      </c>
      <c r="M13" s="30">
        <f t="shared" si="4"/>
        <v>272.21674876847294</v>
      </c>
      <c r="N13" s="31">
        <f t="shared" si="5"/>
        <v>8</v>
      </c>
      <c r="O13" s="30">
        <f>'2019 OKC Results'!J23</f>
        <v>252.36</v>
      </c>
      <c r="P13" s="30">
        <f t="shared" si="6"/>
        <v>228.48347668628338</v>
      </c>
      <c r="Q13" s="31">
        <f t="shared" si="7"/>
        <v>9</v>
      </c>
      <c r="R13" s="32">
        <f t="shared" si="8"/>
        <v>539.83414205523661</v>
      </c>
      <c r="S13" s="33">
        <f t="shared" si="9"/>
        <v>25</v>
      </c>
    </row>
    <row r="14" spans="1:19" s="34" customFormat="1" ht="27" customHeight="1">
      <c r="A14" s="28">
        <v>10</v>
      </c>
      <c r="B14" s="29" t="str">
        <f>'2019 OKC Results'!C24</f>
        <v>Reece</v>
      </c>
      <c r="C14" s="29" t="str">
        <f>'2019 OKC Results'!D24</f>
        <v>HATELY</v>
      </c>
      <c r="D14" s="29" t="str">
        <f>'2019 OKC Results'!E24</f>
        <v>K1M</v>
      </c>
      <c r="E14" s="29" t="str">
        <f>'2019 OKC Results'!F24</f>
        <v>J</v>
      </c>
      <c r="F14" s="53">
        <f>'2019 OKC Results'!G24</f>
        <v>243.75</v>
      </c>
      <c r="G14" s="30">
        <f t="shared" si="0"/>
        <v>230.69278818852928</v>
      </c>
      <c r="H14" s="31">
        <f t="shared" si="1"/>
        <v>10</v>
      </c>
      <c r="I14" s="30">
        <f>'2019 OKC Results'!H24</f>
        <v>214.66</v>
      </c>
      <c r="J14" s="30">
        <f t="shared" si="2"/>
        <v>225.91033466638603</v>
      </c>
      <c r="K14" s="31">
        <f t="shared" si="3"/>
        <v>10</v>
      </c>
      <c r="L14" s="30">
        <f>'2019 OKC Results'!I24</f>
        <v>493.95</v>
      </c>
      <c r="M14" s="30">
        <f t="shared" si="4"/>
        <v>486.65024630541865</v>
      </c>
      <c r="N14" s="31">
        <f t="shared" si="5"/>
        <v>9</v>
      </c>
      <c r="O14" s="30">
        <f>'2019 OKC Results'!J24</f>
        <v>447.33</v>
      </c>
      <c r="P14" s="30">
        <f t="shared" si="6"/>
        <v>405.0067904028972</v>
      </c>
      <c r="Q14" s="31">
        <f t="shared" si="7"/>
        <v>10</v>
      </c>
      <c r="R14" s="32">
        <f t="shared" si="8"/>
        <v>861.60991325781242</v>
      </c>
      <c r="S14" s="33">
        <f t="shared" si="9"/>
        <v>29</v>
      </c>
    </row>
    <row r="15" spans="1:19" ht="27" customHeight="1">
      <c r="A15" s="35" t="s">
        <v>136</v>
      </c>
      <c r="B15" s="34"/>
      <c r="C15" s="34"/>
      <c r="D15" s="34"/>
      <c r="E15" s="36"/>
      <c r="F15" s="37">
        <f>MIN(Table212[Run '#1 Score])</f>
        <v>105.66</v>
      </c>
      <c r="G15" s="37"/>
      <c r="H15" s="38"/>
      <c r="I15" s="37">
        <f>MIN(Table212[Run '#2 Score])</f>
        <v>95.02</v>
      </c>
      <c r="J15" s="37"/>
      <c r="K15" s="38"/>
      <c r="L15" s="37">
        <f>MIN(Table212[Run '#3 Score])</f>
        <v>101.5</v>
      </c>
      <c r="M15" s="37"/>
      <c r="N15" s="38"/>
      <c r="O15" s="37">
        <f>MIN(Table212[Run '#4 Score])</f>
        <v>110.45</v>
      </c>
      <c r="P15" s="37"/>
      <c r="Q15" s="38"/>
      <c r="R15" s="38"/>
      <c r="S15" s="39"/>
    </row>
    <row r="16" spans="1:19" ht="27" customHeight="1">
      <c r="A16" s="35" t="s">
        <v>58</v>
      </c>
      <c r="B16" s="40">
        <v>110</v>
      </c>
      <c r="C16" s="108" t="s">
        <v>119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28.15" customHeight="1">
      <c r="A17" s="100" t="s">
        <v>36</v>
      </c>
      <c r="B17" s="101"/>
      <c r="C17" s="101"/>
      <c r="D17" s="101"/>
      <c r="E17" s="101"/>
      <c r="F17" s="102"/>
      <c r="G17" s="102"/>
      <c r="H17" s="103"/>
      <c r="I17" s="102"/>
      <c r="J17" s="102"/>
      <c r="K17" s="103"/>
      <c r="L17" s="102"/>
      <c r="M17" s="102"/>
      <c r="N17" s="103"/>
      <c r="O17" s="102"/>
      <c r="P17" s="102"/>
      <c r="Q17" s="103"/>
      <c r="R17" s="103"/>
      <c r="S17" s="104"/>
    </row>
  </sheetData>
  <mergeCells count="5">
    <mergeCell ref="A1:S1"/>
    <mergeCell ref="A2:S2"/>
    <mergeCell ref="A3:S3"/>
    <mergeCell ref="A17:S17"/>
    <mergeCell ref="C16:S16"/>
  </mergeCells>
  <conditionalFormatting sqref="G5:G14 J5:J14 M5:M14 P5:P14">
    <cfRule type="cellIs" dxfId="341" priority="540" stopIfTrue="1" operator="lessThan">
      <formula>#REF!</formula>
    </cfRule>
  </conditionalFormatting>
  <conditionalFormatting sqref="G5:G14">
    <cfRule type="cellIs" dxfId="340" priority="4" operator="lessThan">
      <formula>$B$16</formula>
    </cfRule>
  </conditionalFormatting>
  <conditionalFormatting sqref="J5:J14">
    <cfRule type="cellIs" dxfId="339" priority="3" operator="lessThan">
      <formula>$B$16</formula>
    </cfRule>
  </conditionalFormatting>
  <conditionalFormatting sqref="M5:M14">
    <cfRule type="cellIs" dxfId="338" priority="2" operator="lessThan">
      <formula>$B$16</formula>
    </cfRule>
  </conditionalFormatting>
  <conditionalFormatting sqref="P5:P14">
    <cfRule type="cellIs" dxfId="337" priority="1" operator="lessThan">
      <formula>$B$16</formula>
    </cfRule>
  </conditionalFormatting>
  <pageMargins left="0.75" right="0.75" top="1" bottom="1" header="0.5" footer="0.5"/>
  <pageSetup paperSize="9" scale="56" orientation="landscape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4"/>
  <sheetViews>
    <sheetView zoomScale="60" zoomScaleNormal="60" workbookViewId="0">
      <selection activeCell="J12" sqref="J12"/>
    </sheetView>
  </sheetViews>
  <sheetFormatPr defaultColWidth="17.140625" defaultRowHeight="12.75" customHeight="1"/>
  <cols>
    <col min="1" max="1" width="12" style="21" customWidth="1"/>
    <col min="2" max="2" width="18.28515625" style="21" customWidth="1"/>
    <col min="3" max="3" width="22.8554687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07" t="str">
        <f>K1M!A1</f>
        <v>canoe kayak canada 2019 team trials ranking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3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37.5" customHeight="1">
      <c r="A3" s="105" t="s">
        <v>72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36">
      <c r="A4" s="22" t="s">
        <v>28</v>
      </c>
      <c r="B4" s="23" t="s">
        <v>11</v>
      </c>
      <c r="C4" s="24" t="s">
        <v>8</v>
      </c>
      <c r="D4" s="24" t="s">
        <v>25</v>
      </c>
      <c r="E4" s="24" t="s">
        <v>85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</row>
    <row r="5" spans="1:19" s="34" customFormat="1" ht="27" customHeight="1">
      <c r="A5" s="28">
        <v>1</v>
      </c>
      <c r="B5" s="29" t="str">
        <f>'2019 OKC Results'!C20</f>
        <v>Mael</v>
      </c>
      <c r="C5" s="29" t="str">
        <f>'2019 OKC Results'!D20</f>
        <v>RIVARD</v>
      </c>
      <c r="D5" s="29" t="str">
        <f>'2019 OKC Results'!E20</f>
        <v>K1M</v>
      </c>
      <c r="E5" s="29" t="str">
        <f>'2019 OKC Results'!F20</f>
        <v>J</v>
      </c>
      <c r="F5" s="53">
        <f>'2019 OKC Results'!G20</f>
        <v>110.66</v>
      </c>
      <c r="G5" s="30">
        <f>(F5/F$12)*100</f>
        <v>100</v>
      </c>
      <c r="H5" s="31">
        <f t="shared" ref="H5:H11" si="0">IF((RANK(F5,F$5:F$11,1)=1),0,RANK(F5,F$5:F$11,1))</f>
        <v>0</v>
      </c>
      <c r="I5" s="30">
        <f>'2019 OKC Results'!H20</f>
        <v>100.9</v>
      </c>
      <c r="J5" s="30">
        <f>(I5/I$12)*100</f>
        <v>100</v>
      </c>
      <c r="K5" s="31">
        <f t="shared" ref="K5:K11" si="1">IF((RANK(I5,I$5:I$11,1)=1),0,RANK(I5,I$5:I$11,1))</f>
        <v>0</v>
      </c>
      <c r="L5" s="30">
        <f>'2019 OKC Results'!I20</f>
        <v>121.63</v>
      </c>
      <c r="M5" s="30">
        <f>(L5/L$12)*100</f>
        <v>100</v>
      </c>
      <c r="N5" s="31">
        <f t="shared" ref="N5:N11" si="2">IF((RANK(L5,L$5:L$11,1)=1),0,RANK(L5,L$5:L$11,1))</f>
        <v>0</v>
      </c>
      <c r="O5" s="30">
        <f>'2019 OKC Results'!J20</f>
        <v>114.21</v>
      </c>
      <c r="P5" s="30">
        <f>(O5/O$12)*100</f>
        <v>100</v>
      </c>
      <c r="Q5" s="31">
        <f t="shared" ref="Q5:Q11" si="3">IF((RANK(O5,O$5:O$11,1)=1),0,RANK(O5,O$5:O$11,1))</f>
        <v>0</v>
      </c>
      <c r="R5" s="32">
        <f>IF((COUNT(G5,J5,M5,P5)&gt;3),(SUM(G5,J5,M5,P5)-MAX(G5,J5,M5,P5)),SUM(G5,J5,M5,P5))</f>
        <v>300</v>
      </c>
      <c r="S5" s="33">
        <f t="shared" ref="R5:S11" si="4">IF((COUNT(H5,K5,N5,Q5)&gt;3),(SUM(H5,K5,N5,Q5)-MAX(H5,K5,N5,Q5)),SUM(H5,K5,N5,Q5))</f>
        <v>0</v>
      </c>
    </row>
    <row r="6" spans="1:19" s="34" customFormat="1" ht="27" customHeight="1">
      <c r="A6" s="96">
        <v>2</v>
      </c>
      <c r="B6" s="29" t="str">
        <f>'2019 OKC Results'!C26</f>
        <v>Alex</v>
      </c>
      <c r="C6" s="29" t="str">
        <f>'2019 OKC Results'!D26</f>
        <v>BALDONI</v>
      </c>
      <c r="D6" s="29" t="str">
        <f>'2019 OKC Results'!E26</f>
        <v>K1M</v>
      </c>
      <c r="E6" s="29" t="str">
        <f>'2019 OKC Results'!F26</f>
        <v>J</v>
      </c>
      <c r="F6" s="53">
        <f>'2019 OKC Results'!G26</f>
        <v>117.49</v>
      </c>
      <c r="G6" s="30">
        <f t="shared" ref="G5:G11" si="5">(F6/F$12)*100</f>
        <v>106.17205855774444</v>
      </c>
      <c r="H6" s="31">
        <f t="shared" si="0"/>
        <v>2</v>
      </c>
      <c r="I6" s="30">
        <f>'2019 OKC Results'!H26</f>
        <v>111.82</v>
      </c>
      <c r="J6" s="30">
        <f>(I6/I$12)*100</f>
        <v>110.82259663032706</v>
      </c>
      <c r="K6" s="31">
        <f t="shared" si="1"/>
        <v>2</v>
      </c>
      <c r="L6" s="30">
        <f>'2019 OKC Results'!I26</f>
        <v>151.16999999999999</v>
      </c>
      <c r="M6" s="30">
        <f>(L6/L$12)*100</f>
        <v>124.28677135575103</v>
      </c>
      <c r="N6" s="31">
        <f t="shared" si="2"/>
        <v>3</v>
      </c>
      <c r="O6" s="30">
        <f>'2019 OKC Results'!J26</f>
        <v>123.18</v>
      </c>
      <c r="P6" s="30">
        <f>(O6/O$12)*100</f>
        <v>107.85395324402418</v>
      </c>
      <c r="Q6" s="31">
        <f t="shared" si="3"/>
        <v>3</v>
      </c>
      <c r="R6" s="32">
        <f>IF((COUNT(G6,J6,M6,P6)&gt;3),(SUM(G6,J6,M6,P6)-MAX(G6,J6,M6,P6)),SUM(G6,J6,M6,P6))</f>
        <v>324.8486084320956</v>
      </c>
      <c r="S6" s="33">
        <f t="shared" si="4"/>
        <v>7</v>
      </c>
    </row>
    <row r="7" spans="1:19" s="34" customFormat="1" ht="27" customHeight="1">
      <c r="A7" s="28">
        <v>3</v>
      </c>
      <c r="B7" s="29" t="str">
        <f>'2019 OKC Results'!C22</f>
        <v>Jean-Benoit</v>
      </c>
      <c r="C7" s="29" t="str">
        <f>'2019 OKC Results'!D22</f>
        <v>LEMAY</v>
      </c>
      <c r="D7" s="29" t="str">
        <f>'2019 OKC Results'!E22</f>
        <v>K1M</v>
      </c>
      <c r="E7" s="29" t="str">
        <f>'2019 OKC Results'!F22</f>
        <v>J</v>
      </c>
      <c r="F7" s="53">
        <f>'2019 OKC Results'!G22</f>
        <v>120.72</v>
      </c>
      <c r="G7" s="30">
        <f t="shared" si="5"/>
        <v>109.09090909090908</v>
      </c>
      <c r="H7" s="31">
        <f t="shared" si="0"/>
        <v>3</v>
      </c>
      <c r="I7" s="30">
        <f>'2019 OKC Results'!H22</f>
        <v>116.72</v>
      </c>
      <c r="J7" s="30">
        <f t="shared" ref="J5:J11" si="6">(I7/I$12)*100</f>
        <v>115.67888999008919</v>
      </c>
      <c r="K7" s="31">
        <f t="shared" si="1"/>
        <v>3</v>
      </c>
      <c r="L7" s="30">
        <f>'2019 OKC Results'!I22</f>
        <v>166.86</v>
      </c>
      <c r="M7" s="30">
        <f t="shared" ref="M5:M11" si="7">(L7/L$12)*100</f>
        <v>137.18654937104336</v>
      </c>
      <c r="N7" s="31">
        <f t="shared" si="2"/>
        <v>4</v>
      </c>
      <c r="O7" s="30">
        <f>'2019 OKC Results'!J22</f>
        <v>116.59</v>
      </c>
      <c r="P7" s="30">
        <f t="shared" ref="P5:P11" si="8">(O7/O$12)*100</f>
        <v>102.08388057087821</v>
      </c>
      <c r="Q7" s="31">
        <f t="shared" si="3"/>
        <v>2</v>
      </c>
      <c r="R7" s="32">
        <f t="shared" si="4"/>
        <v>326.85367965187652</v>
      </c>
      <c r="S7" s="33">
        <f t="shared" si="4"/>
        <v>8</v>
      </c>
    </row>
    <row r="8" spans="1:19" s="34" customFormat="1" ht="27" customHeight="1">
      <c r="A8" s="28">
        <v>4</v>
      </c>
      <c r="B8" s="29" t="str">
        <f>'2019 OKC Results'!C25</f>
        <v>Mark</v>
      </c>
      <c r="C8" s="29" t="str">
        <f>'2019 OKC Results'!D25</f>
        <v>ZIELONKA</v>
      </c>
      <c r="D8" s="29" t="str">
        <f>'2019 OKC Results'!E25</f>
        <v>K1M</v>
      </c>
      <c r="E8" s="29" t="str">
        <f>'2019 OKC Results'!F25</f>
        <v>J</v>
      </c>
      <c r="F8" s="53">
        <f>'2019 OKC Results'!G25</f>
        <v>131.44999999999999</v>
      </c>
      <c r="G8" s="30">
        <f t="shared" si="5"/>
        <v>118.7872763419483</v>
      </c>
      <c r="H8" s="31">
        <f t="shared" si="0"/>
        <v>5</v>
      </c>
      <c r="I8" s="30">
        <f>'2019 OKC Results'!H25</f>
        <v>127.96</v>
      </c>
      <c r="J8" s="30">
        <f t="shared" si="6"/>
        <v>126.81863230921704</v>
      </c>
      <c r="K8" s="31">
        <f t="shared" si="1"/>
        <v>4</v>
      </c>
      <c r="L8" s="30">
        <f>'2019 OKC Results'!I25</f>
        <v>141.22999999999999</v>
      </c>
      <c r="M8" s="30">
        <f t="shared" si="7"/>
        <v>116.11444544931348</v>
      </c>
      <c r="N8" s="31">
        <f t="shared" si="2"/>
        <v>2</v>
      </c>
      <c r="O8" s="30">
        <f>'2019 OKC Results'!J25</f>
        <v>141.19</v>
      </c>
      <c r="P8" s="30">
        <f t="shared" si="8"/>
        <v>123.62315033709834</v>
      </c>
      <c r="Q8" s="31">
        <f t="shared" si="3"/>
        <v>5</v>
      </c>
      <c r="R8" s="32">
        <f t="shared" si="4"/>
        <v>358.52487212836013</v>
      </c>
      <c r="S8" s="33">
        <f t="shared" si="4"/>
        <v>11</v>
      </c>
    </row>
    <row r="9" spans="1:19" s="34" customFormat="1" ht="27" customHeight="1">
      <c r="A9" s="28">
        <v>5</v>
      </c>
      <c r="B9" s="29" t="str">
        <f>'2019 OKC Results'!C21</f>
        <v>Jakob</v>
      </c>
      <c r="C9" s="29" t="str">
        <f>'2019 OKC Results'!D21</f>
        <v>KRYWORUCHKO</v>
      </c>
      <c r="D9" s="29" t="str">
        <f>'2019 OKC Results'!E21</f>
        <v>K1M</v>
      </c>
      <c r="E9" s="29" t="str">
        <f>'2019 OKC Results'!F21</f>
        <v>J</v>
      </c>
      <c r="F9" s="53">
        <f>'2019 OKC Results'!G21</f>
        <v>128.74</v>
      </c>
      <c r="G9" s="30">
        <f t="shared" si="5"/>
        <v>116.33833363455631</v>
      </c>
      <c r="H9" s="31">
        <f t="shared" si="0"/>
        <v>4</v>
      </c>
      <c r="I9" s="30">
        <f>'2019 OKC Results'!H21</f>
        <v>133.30000000000001</v>
      </c>
      <c r="J9" s="30">
        <f t="shared" si="6"/>
        <v>132.11100099108029</v>
      </c>
      <c r="K9" s="31">
        <f t="shared" si="1"/>
        <v>5</v>
      </c>
      <c r="L9" s="30">
        <f>'2019 OKC Results'!I21</f>
        <v>999</v>
      </c>
      <c r="M9" s="30">
        <f t="shared" si="7"/>
        <v>821.34341856449885</v>
      </c>
      <c r="N9" s="31">
        <f t="shared" si="2"/>
        <v>7</v>
      </c>
      <c r="O9" s="30">
        <f>'2019 OKC Results'!J21</f>
        <v>137.82</v>
      </c>
      <c r="P9" s="30">
        <f t="shared" si="8"/>
        <v>120.67244549514054</v>
      </c>
      <c r="Q9" s="31">
        <f t="shared" si="3"/>
        <v>4</v>
      </c>
      <c r="R9" s="32">
        <f t="shared" si="4"/>
        <v>369.12178012077709</v>
      </c>
      <c r="S9" s="33">
        <f t="shared" si="4"/>
        <v>13</v>
      </c>
    </row>
    <row r="10" spans="1:19" s="34" customFormat="1" ht="27" customHeight="1">
      <c r="A10" s="28">
        <v>6</v>
      </c>
      <c r="B10" s="29" t="str">
        <f>'2019 OKC Results'!C23</f>
        <v>Lucas</v>
      </c>
      <c r="C10" s="29" t="str">
        <f>'2019 OKC Results'!D23</f>
        <v>HATELY</v>
      </c>
      <c r="D10" s="29" t="str">
        <f>'2019 OKC Results'!E23</f>
        <v>K1M</v>
      </c>
      <c r="E10" s="29" t="str">
        <f>'2019 OKC Results'!F23</f>
        <v>J</v>
      </c>
      <c r="F10" s="53">
        <f>'2019 OKC Results'!G23</f>
        <v>155.06</v>
      </c>
      <c r="G10" s="30">
        <f t="shared" si="5"/>
        <v>140.12289896981747</v>
      </c>
      <c r="H10" s="31">
        <f t="shared" si="0"/>
        <v>6</v>
      </c>
      <c r="I10" s="30">
        <f>'2019 OKC Results'!H23</f>
        <v>156.4</v>
      </c>
      <c r="J10" s="30">
        <f t="shared" si="6"/>
        <v>155.00495540138749</v>
      </c>
      <c r="K10" s="31">
        <f t="shared" si="1"/>
        <v>6</v>
      </c>
      <c r="L10" s="30">
        <f>'2019 OKC Results'!I23</f>
        <v>276.3</v>
      </c>
      <c r="M10" s="30">
        <f t="shared" si="7"/>
        <v>227.16435090027133</v>
      </c>
      <c r="N10" s="31">
        <f t="shared" si="2"/>
        <v>5</v>
      </c>
      <c r="O10" s="30">
        <f>'2019 OKC Results'!J23</f>
        <v>252.36</v>
      </c>
      <c r="P10" s="30">
        <f t="shared" si="8"/>
        <v>220.96138691883374</v>
      </c>
      <c r="Q10" s="31">
        <f t="shared" si="3"/>
        <v>6</v>
      </c>
      <c r="R10" s="32">
        <f t="shared" si="4"/>
        <v>516.08924129003867</v>
      </c>
      <c r="S10" s="33">
        <f t="shared" si="4"/>
        <v>17</v>
      </c>
    </row>
    <row r="11" spans="1:19" s="34" customFormat="1" ht="27" customHeight="1">
      <c r="A11" s="28">
        <v>7</v>
      </c>
      <c r="B11" s="29" t="str">
        <f>'2019 OKC Results'!C24</f>
        <v>Reece</v>
      </c>
      <c r="C11" s="29" t="str">
        <f>'2019 OKC Results'!D24</f>
        <v>HATELY</v>
      </c>
      <c r="D11" s="29" t="str">
        <f>'2019 OKC Results'!E24</f>
        <v>K1M</v>
      </c>
      <c r="E11" s="29" t="str">
        <f>'2019 OKC Results'!F24</f>
        <v>J</v>
      </c>
      <c r="F11" s="53">
        <f>'2019 OKC Results'!G24</f>
        <v>243.75</v>
      </c>
      <c r="G11" s="30">
        <f t="shared" si="5"/>
        <v>220.26929333092355</v>
      </c>
      <c r="H11" s="31">
        <f t="shared" si="0"/>
        <v>7</v>
      </c>
      <c r="I11" s="30">
        <f>'2019 OKC Results'!H24</f>
        <v>214.66</v>
      </c>
      <c r="J11" s="30">
        <f>(I11/I$12)*100</f>
        <v>212.74529236868185</v>
      </c>
      <c r="K11" s="31">
        <f t="shared" si="1"/>
        <v>7</v>
      </c>
      <c r="L11" s="30">
        <f>'2019 OKC Results'!I24</f>
        <v>493.95</v>
      </c>
      <c r="M11" s="30">
        <f t="shared" si="7"/>
        <v>406.1086902902245</v>
      </c>
      <c r="N11" s="31">
        <f t="shared" si="2"/>
        <v>6</v>
      </c>
      <c r="O11" s="30">
        <f>'2019 OKC Results'!J24</f>
        <v>447.33</v>
      </c>
      <c r="P11" s="30">
        <f t="shared" si="8"/>
        <v>391.67323351720518</v>
      </c>
      <c r="Q11" s="31">
        <f t="shared" si="3"/>
        <v>7</v>
      </c>
      <c r="R11" s="32">
        <f t="shared" si="4"/>
        <v>824.68781921681034</v>
      </c>
      <c r="S11" s="33">
        <f t="shared" si="4"/>
        <v>20</v>
      </c>
    </row>
    <row r="12" spans="1:19" ht="27" customHeight="1">
      <c r="A12" s="35" t="s">
        <v>136</v>
      </c>
      <c r="B12" s="34"/>
      <c r="C12" s="34"/>
      <c r="D12" s="36"/>
      <c r="E12" s="36"/>
      <c r="F12" s="37">
        <f>MIN(Table21213[Run '#1 Score])</f>
        <v>110.66</v>
      </c>
      <c r="G12" s="37"/>
      <c r="H12" s="38"/>
      <c r="I12" s="37">
        <f>MIN(Table21213[Run '#2 Score])</f>
        <v>100.9</v>
      </c>
      <c r="J12" s="37"/>
      <c r="K12" s="38"/>
      <c r="L12" s="37">
        <f>MIN(Table21213[Run '#3 Score])</f>
        <v>121.63</v>
      </c>
      <c r="M12" s="37"/>
      <c r="N12" s="38"/>
      <c r="O12" s="37">
        <f>MIN(Table21213[Run '#4 Score])</f>
        <v>114.21</v>
      </c>
      <c r="P12" s="37"/>
      <c r="Q12" s="38"/>
      <c r="R12" s="38"/>
      <c r="S12" s="39"/>
    </row>
    <row r="13" spans="1:19" ht="28.15" customHeight="1">
      <c r="A13" s="35" t="s">
        <v>59</v>
      </c>
      <c r="B13" s="40">
        <v>115</v>
      </c>
      <c r="C13" s="108" t="s">
        <v>118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ht="12.75" customHeight="1">
      <c r="A14" s="100" t="s">
        <v>36</v>
      </c>
      <c r="B14" s="101"/>
      <c r="C14" s="101"/>
      <c r="D14" s="101"/>
      <c r="E14" s="101"/>
      <c r="F14" s="102"/>
      <c r="G14" s="102"/>
      <c r="H14" s="103"/>
      <c r="I14" s="102"/>
      <c r="J14" s="102"/>
      <c r="K14" s="103"/>
      <c r="L14" s="102"/>
      <c r="M14" s="102"/>
      <c r="N14" s="103"/>
      <c r="O14" s="102"/>
      <c r="P14" s="102"/>
      <c r="Q14" s="103"/>
      <c r="R14" s="103"/>
      <c r="S14" s="104"/>
    </row>
  </sheetData>
  <mergeCells count="5">
    <mergeCell ref="A1:S1"/>
    <mergeCell ref="A2:S2"/>
    <mergeCell ref="A3:S3"/>
    <mergeCell ref="A14:S14"/>
    <mergeCell ref="C13:S13"/>
  </mergeCells>
  <conditionalFormatting sqref="G5:G11 J5:J11 M5:M11 P5:P11">
    <cfRule type="cellIs" dxfId="312" priority="9" stopIfTrue="1" operator="lessThan">
      <formula>#REF!</formula>
    </cfRule>
  </conditionalFormatting>
  <conditionalFormatting sqref="M5:M11 P5:P11 G5:G11">
    <cfRule type="cellIs" dxfId="311" priority="8" operator="lessThan">
      <formula>$B$13</formula>
    </cfRule>
  </conditionalFormatting>
  <conditionalFormatting sqref="J5:J11">
    <cfRule type="cellIs" dxfId="310" priority="7" operator="lessThan">
      <formula>$B$13</formula>
    </cfRule>
  </conditionalFormatting>
  <pageMargins left="0.75" right="0.75" top="1" bottom="1" header="0.5" footer="0.5"/>
  <pageSetup paperSize="9" scale="58" orientation="landscape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3"/>
  <sheetViews>
    <sheetView zoomScale="60" zoomScaleNormal="60" workbookViewId="0">
      <selection activeCell="A4" sqref="A4:S4"/>
    </sheetView>
  </sheetViews>
  <sheetFormatPr defaultColWidth="17.140625" defaultRowHeight="12.75" customHeight="1"/>
  <cols>
    <col min="1" max="1" width="12.28515625" style="21" customWidth="1"/>
    <col min="2" max="2" width="13" style="21" customWidth="1"/>
    <col min="3" max="3" width="17.14062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32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41.1" customHeight="1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36">
      <c r="A4" s="22" t="s">
        <v>28</v>
      </c>
      <c r="B4" s="23" t="s">
        <v>11</v>
      </c>
      <c r="C4" s="24" t="s">
        <v>8</v>
      </c>
      <c r="D4" s="24" t="s">
        <v>25</v>
      </c>
      <c r="E4" s="24" t="s">
        <v>85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</row>
    <row r="5" spans="1:19" s="34" customFormat="1" ht="27.4" customHeight="1">
      <c r="A5" s="42">
        <v>1</v>
      </c>
      <c r="B5" s="59" t="str">
        <f>'2019 OKC Results'!C8</f>
        <v>Florence</v>
      </c>
      <c r="C5" s="59" t="str">
        <f>'2019 OKC Results'!D8</f>
        <v>MAHEU</v>
      </c>
      <c r="D5" s="59" t="str">
        <f>'2019 OKC Results'!E8</f>
        <v>K1W</v>
      </c>
      <c r="E5" s="59" t="str">
        <f>'2019 OKC Results'!F8</f>
        <v>S</v>
      </c>
      <c r="F5" s="43">
        <f>'2019 OKC Results'!G8</f>
        <v>120.17</v>
      </c>
      <c r="G5" s="30">
        <f>(F5/K1M!F$17)*100</f>
        <v>138.54046575974178</v>
      </c>
      <c r="H5" s="31">
        <f t="shared" ref="H5:H10" si="0">IF((RANK(F5,F$5:F$10,1)=1),0,RANK(F5,F$5:F$10,1))</f>
        <v>0</v>
      </c>
      <c r="I5" s="43">
        <f>'2019 OKC Results'!H8</f>
        <v>121.67</v>
      </c>
      <c r="J5" s="30">
        <f>(I5/K1M!I$17)*100</f>
        <v>141.57551780311846</v>
      </c>
      <c r="K5" s="31">
        <f t="shared" ref="K5:K10" si="1">IF((RANK(I5,I$5:I$10,1)=1),0,RANK(I5,I$5:I$10,1))</f>
        <v>2</v>
      </c>
      <c r="L5" s="43">
        <f>'2019 OKC Results'!I8</f>
        <v>120.48</v>
      </c>
      <c r="M5" s="30">
        <f>(L5/K1M!L$17)*100</f>
        <v>130.02374271530326</v>
      </c>
      <c r="N5" s="31">
        <f t="shared" ref="N5:N10" si="2">IF((RANK(L5,L$5:L$10,1)=1),0,RANK(L5,L$5:L$10,1))</f>
        <v>2</v>
      </c>
      <c r="O5" s="43">
        <f>'2019 OKC Results'!J8</f>
        <v>118.67</v>
      </c>
      <c r="P5" s="30">
        <f>(O5/K1M!O$17)*100</f>
        <v>130.98233995584988</v>
      </c>
      <c r="Q5" s="31">
        <f t="shared" ref="Q5:Q10" si="3">IF((RANK(O5,O$5:O$10,1)=1),0,RANK(O5,O$5:O$10,1))</f>
        <v>0</v>
      </c>
      <c r="R5" s="32">
        <f t="shared" ref="R5:S10" si="4">IF((COUNT(G5,J5,M5,P5)&gt;3),(SUM(G5,J5,M5,P5)-MAX(G5,J5,M5,P5)),SUM(G5,J5,M5,P5))</f>
        <v>399.54654843089486</v>
      </c>
      <c r="S5" s="33">
        <f t="shared" si="4"/>
        <v>2</v>
      </c>
    </row>
    <row r="6" spans="1:19" s="34" customFormat="1" ht="27.4" customHeight="1">
      <c r="A6" s="42">
        <v>2</v>
      </c>
      <c r="B6" s="59" t="str">
        <f>'2019 OKC Results'!C7</f>
        <v>Lois</v>
      </c>
      <c r="C6" s="59" t="str">
        <f>'2019 OKC Results'!D7</f>
        <v>BETTERIDGE</v>
      </c>
      <c r="D6" s="59" t="str">
        <f>'2019 OKC Results'!E7</f>
        <v>K1W</v>
      </c>
      <c r="E6" s="59" t="str">
        <f>'2019 OKC Results'!F7</f>
        <v>U23</v>
      </c>
      <c r="F6" s="43">
        <f>'2019 OKC Results'!G7</f>
        <v>133.91</v>
      </c>
      <c r="G6" s="30">
        <f>(F6/K1M!F$17)*100</f>
        <v>154.38090846207055</v>
      </c>
      <c r="H6" s="31">
        <f t="shared" si="0"/>
        <v>2</v>
      </c>
      <c r="I6" s="43">
        <f>'2019 OKC Results'!H7</f>
        <v>119.82</v>
      </c>
      <c r="J6" s="30">
        <f>(I6/K1M!I$17)*100</f>
        <v>139.42285315336281</v>
      </c>
      <c r="K6" s="31">
        <f t="shared" si="1"/>
        <v>0</v>
      </c>
      <c r="L6" s="43">
        <f>'2019 OKC Results'!I7</f>
        <v>119.59</v>
      </c>
      <c r="M6" s="30">
        <f>(L6/K1M!L$17)*100</f>
        <v>129.06324195985323</v>
      </c>
      <c r="N6" s="31">
        <f t="shared" si="2"/>
        <v>0</v>
      </c>
      <c r="O6" s="43">
        <f>'2019 OKC Results'!J7</f>
        <v>135.02000000000001</v>
      </c>
      <c r="P6" s="30">
        <f>(O6/K1M!O$17)*100</f>
        <v>149.02869757174395</v>
      </c>
      <c r="Q6" s="31">
        <f t="shared" si="3"/>
        <v>2</v>
      </c>
      <c r="R6" s="32">
        <f t="shared" si="4"/>
        <v>417.51479268495996</v>
      </c>
      <c r="S6" s="33">
        <f t="shared" si="4"/>
        <v>2</v>
      </c>
    </row>
    <row r="7" spans="1:19" s="34" customFormat="1" ht="27.4" customHeight="1">
      <c r="A7" s="42">
        <v>3</v>
      </c>
      <c r="B7" s="59" t="str">
        <f>'2019 OKC Results'!C4</f>
        <v>Jocelyn</v>
      </c>
      <c r="C7" s="59" t="str">
        <f>'2019 OKC Results'!D4</f>
        <v>TAYLOR</v>
      </c>
      <c r="D7" s="59" t="str">
        <f>'2019 OKC Results'!E4</f>
        <v>K1W</v>
      </c>
      <c r="E7" s="59" t="str">
        <f>'2019 OKC Results'!F4</f>
        <v>J</v>
      </c>
      <c r="F7" s="43">
        <f>'2019 OKC Results'!G4</f>
        <v>141.21</v>
      </c>
      <c r="G7" s="30">
        <f>(F7/K1M!F$17)*100</f>
        <v>162.7968641918377</v>
      </c>
      <c r="H7" s="31">
        <f t="shared" si="0"/>
        <v>3</v>
      </c>
      <c r="I7" s="43">
        <f>'2019 OKC Results'!H4</f>
        <v>139.96</v>
      </c>
      <c r="J7" s="30">
        <f>(I7/K1M!I$17)*100</f>
        <v>162.85780777286482</v>
      </c>
      <c r="K7" s="31">
        <f t="shared" si="1"/>
        <v>3</v>
      </c>
      <c r="L7" s="43">
        <f>'2019 OKC Results'!I4</f>
        <v>217.1</v>
      </c>
      <c r="M7" s="30">
        <f>(L7/K1M!L$17)*100</f>
        <v>234.29743146988991</v>
      </c>
      <c r="N7" s="31">
        <f t="shared" si="2"/>
        <v>4</v>
      </c>
      <c r="O7" s="43">
        <f>'2019 OKC Results'!J4</f>
        <v>196.35</v>
      </c>
      <c r="P7" s="30">
        <f>(O7/K1M!O$17)*100</f>
        <v>216.72185430463577</v>
      </c>
      <c r="Q7" s="31">
        <f t="shared" si="3"/>
        <v>3</v>
      </c>
      <c r="R7" s="32">
        <f t="shared" si="4"/>
        <v>542.37652626933823</v>
      </c>
      <c r="S7" s="33">
        <f t="shared" si="4"/>
        <v>9</v>
      </c>
    </row>
    <row r="8" spans="1:19" s="34" customFormat="1" ht="27.4" customHeight="1">
      <c r="A8" s="42">
        <v>4</v>
      </c>
      <c r="B8" s="59" t="str">
        <f>'2019 OKC Results'!C6</f>
        <v>Lea</v>
      </c>
      <c r="C8" s="59" t="str">
        <f>'2019 OKC Results'!D6</f>
        <v>BALDONI</v>
      </c>
      <c r="D8" s="59" t="str">
        <f>'2019 OKC Results'!E6</f>
        <v>K1W</v>
      </c>
      <c r="E8" s="59" t="str">
        <f>'2019 OKC Results'!F6</f>
        <v>J</v>
      </c>
      <c r="F8" s="43">
        <f>'2019 OKC Results'!G6</f>
        <v>350.52</v>
      </c>
      <c r="G8" s="30">
        <f>(F8/K1M!F$17)*100</f>
        <v>404.10421950657138</v>
      </c>
      <c r="H8" s="31">
        <f t="shared" si="0"/>
        <v>6</v>
      </c>
      <c r="I8" s="43">
        <f>'2019 OKC Results'!H6</f>
        <v>166.04</v>
      </c>
      <c r="J8" s="30">
        <f>(I8/K1M!I$17)*100</f>
        <v>193.20456132185245</v>
      </c>
      <c r="K8" s="31">
        <f t="shared" si="1"/>
        <v>5</v>
      </c>
      <c r="L8" s="43">
        <f>'2019 OKC Results'!I6</f>
        <v>177.07</v>
      </c>
      <c r="M8" s="30">
        <f>(L8/K1M!L$17)*100</f>
        <v>191.09648176127777</v>
      </c>
      <c r="N8" s="31">
        <f t="shared" si="2"/>
        <v>3</v>
      </c>
      <c r="O8" s="43">
        <f>'2019 OKC Results'!J6</f>
        <v>205.96</v>
      </c>
      <c r="P8" s="30">
        <f>(O8/K1M!O$17)*100</f>
        <v>227.32891832229583</v>
      </c>
      <c r="Q8" s="31">
        <f t="shared" si="3"/>
        <v>4</v>
      </c>
      <c r="R8" s="32">
        <f t="shared" si="4"/>
        <v>611.629961405426</v>
      </c>
      <c r="S8" s="33">
        <f t="shared" si="4"/>
        <v>12</v>
      </c>
    </row>
    <row r="9" spans="1:19" s="34" customFormat="1" ht="27.4" customHeight="1">
      <c r="A9" s="42">
        <v>5</v>
      </c>
      <c r="B9" s="59" t="str">
        <f>'2019 OKC Results'!C5</f>
        <v>Isabel</v>
      </c>
      <c r="C9" s="59" t="str">
        <f>'2019 OKC Results'!D5</f>
        <v>TAYLOR</v>
      </c>
      <c r="D9" s="59" t="str">
        <f>'2019 OKC Results'!E5</f>
        <v>K1W</v>
      </c>
      <c r="E9" s="59" t="str">
        <f>'2019 OKC Results'!F5</f>
        <v>J</v>
      </c>
      <c r="F9" s="43">
        <f>'2019 OKC Results'!G5</f>
        <v>207.75</v>
      </c>
      <c r="G9" s="30">
        <f>(F9/K1M!F$17)*100</f>
        <v>239.50887710398897</v>
      </c>
      <c r="H9" s="31">
        <f t="shared" si="0"/>
        <v>5</v>
      </c>
      <c r="I9" s="43">
        <f>'2019 OKC Results'!H5</f>
        <v>158.26</v>
      </c>
      <c r="J9" s="30">
        <f>(I9/K1M!I$17)*100</f>
        <v>184.15173376774493</v>
      </c>
      <c r="K9" s="31">
        <f t="shared" si="1"/>
        <v>4</v>
      </c>
      <c r="L9" s="43">
        <f>'2019 OKC Results'!I5</f>
        <v>383.58</v>
      </c>
      <c r="M9" s="30">
        <f>(L9/K1M!L$17)*100</f>
        <v>413.96503345564429</v>
      </c>
      <c r="N9" s="31">
        <f t="shared" si="2"/>
        <v>5</v>
      </c>
      <c r="O9" s="43">
        <f>'2019 OKC Results'!J5</f>
        <v>232.87</v>
      </c>
      <c r="P9" s="30">
        <f>(O9/K1M!O$17)*100</f>
        <v>257.03090507726267</v>
      </c>
      <c r="Q9" s="31">
        <f t="shared" si="3"/>
        <v>6</v>
      </c>
      <c r="R9" s="32">
        <f t="shared" si="4"/>
        <v>680.69151594899654</v>
      </c>
      <c r="S9" s="33">
        <f t="shared" si="4"/>
        <v>14</v>
      </c>
    </row>
    <row r="10" spans="1:19" s="34" customFormat="1" ht="27.4" customHeight="1">
      <c r="A10" s="42">
        <v>6</v>
      </c>
      <c r="B10" s="59" t="str">
        <f>'2019 OKC Results'!C3</f>
        <v>Olivia</v>
      </c>
      <c r="C10" s="59" t="str">
        <f>'2019 OKC Results'!D3</f>
        <v>NORMAN</v>
      </c>
      <c r="D10" s="59" t="str">
        <f>'2019 OKC Results'!E3</f>
        <v>K1W</v>
      </c>
      <c r="E10" s="59" t="str">
        <f>'2019 OKC Results'!F3</f>
        <v>J</v>
      </c>
      <c r="F10" s="43">
        <f>'2019 OKC Results'!G3</f>
        <v>195.42</v>
      </c>
      <c r="G10" s="30">
        <f>(F10/K1M!F$17)*100</f>
        <v>225.29398201521792</v>
      </c>
      <c r="H10" s="31">
        <f t="shared" si="0"/>
        <v>4</v>
      </c>
      <c r="I10" s="43">
        <f>'2019 OKC Results'!H3</f>
        <v>172.22</v>
      </c>
      <c r="J10" s="30">
        <f>(I10/K1M!I$17)*100</f>
        <v>200.39562485454968</v>
      </c>
      <c r="K10" s="31">
        <f t="shared" si="1"/>
        <v>6</v>
      </c>
      <c r="L10" s="43">
        <f>'2019 OKC Results'!I3</f>
        <v>427.13</v>
      </c>
      <c r="M10" s="30">
        <f>(L10/K1M!L$17)*100</f>
        <v>460.96481761277789</v>
      </c>
      <c r="N10" s="31">
        <f t="shared" si="2"/>
        <v>6</v>
      </c>
      <c r="O10" s="43">
        <f>'2019 OKC Results'!J3</f>
        <v>213.86</v>
      </c>
      <c r="P10" s="30">
        <f>(O10/K1M!O$17)*100</f>
        <v>236.04856512141282</v>
      </c>
      <c r="Q10" s="31">
        <f t="shared" si="3"/>
        <v>5</v>
      </c>
      <c r="R10" s="32">
        <f t="shared" si="4"/>
        <v>661.73817199118037</v>
      </c>
      <c r="S10" s="33">
        <f t="shared" si="4"/>
        <v>15</v>
      </c>
    </row>
    <row r="11" spans="1:19" s="34" customFormat="1" ht="27.4" customHeight="1">
      <c r="A11" s="35" t="s">
        <v>136</v>
      </c>
      <c r="D11" s="36"/>
      <c r="E11" s="36"/>
      <c r="F11" s="37">
        <f>K1M!F$17</f>
        <v>86.74</v>
      </c>
      <c r="G11" s="37"/>
      <c r="H11" s="38"/>
      <c r="I11" s="37">
        <f>K1M!I$17</f>
        <v>85.94</v>
      </c>
      <c r="J11" s="37"/>
      <c r="K11" s="38"/>
      <c r="L11" s="37">
        <f>K1M!L$17</f>
        <v>92.66</v>
      </c>
      <c r="M11" s="37"/>
      <c r="N11" s="38"/>
      <c r="O11" s="37">
        <f>K1M!O$17</f>
        <v>90.6</v>
      </c>
      <c r="P11" s="37"/>
      <c r="Q11" s="38"/>
      <c r="R11" s="38"/>
      <c r="S11" s="39"/>
    </row>
    <row r="12" spans="1:19" s="34" customFormat="1" ht="27.4" customHeight="1">
      <c r="A12" s="35" t="s">
        <v>75</v>
      </c>
      <c r="B12" s="52">
        <v>119.9</v>
      </c>
      <c r="C12" s="108" t="s">
        <v>88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ht="27.75" customHeight="1">
      <c r="A13" s="100" t="s">
        <v>36</v>
      </c>
      <c r="B13" s="101"/>
      <c r="C13" s="101"/>
      <c r="D13" s="101"/>
      <c r="E13" s="101"/>
      <c r="F13" s="102"/>
      <c r="G13" s="102"/>
      <c r="H13" s="103"/>
      <c r="I13" s="102"/>
      <c r="J13" s="102"/>
      <c r="K13" s="103"/>
      <c r="L13" s="102"/>
      <c r="M13" s="102"/>
      <c r="N13" s="103"/>
      <c r="O13" s="102"/>
      <c r="P13" s="102"/>
      <c r="Q13" s="103"/>
      <c r="R13" s="103"/>
      <c r="S13" s="104"/>
    </row>
  </sheetData>
  <sortState ref="A14:T19">
    <sortCondition ref="A14:A19"/>
    <sortCondition ref="R14:R19"/>
  </sortState>
  <mergeCells count="5">
    <mergeCell ref="A2:S2"/>
    <mergeCell ref="A13:S13"/>
    <mergeCell ref="A1:S1"/>
    <mergeCell ref="A3:S3"/>
    <mergeCell ref="C12:S12"/>
  </mergeCells>
  <conditionalFormatting sqref="M5:M10 P5:P10 G5:G10 J5:J10">
    <cfRule type="cellIs" dxfId="266" priority="522" stopIfTrue="1" operator="lessThan">
      <formula>$B$12</formula>
    </cfRule>
  </conditionalFormatting>
  <pageMargins left="0.75" right="0.75" top="1" bottom="1" header="0.5" footer="0.5"/>
  <pageSetup paperSize="9" scale="61" orientation="landscape" verticalDpi="300" r:id="rId1"/>
  <headerFooter alignWithMargins="0">
    <oddHeader xml:space="preserve">&amp;C&amp;"Cubano,Regular"&amp;16
</oddHead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2"/>
  <sheetViews>
    <sheetView zoomScale="70" zoomScaleNormal="70" workbookViewId="0">
      <selection activeCell="M6" sqref="M6"/>
    </sheetView>
  </sheetViews>
  <sheetFormatPr defaultColWidth="17.140625" defaultRowHeight="12.75" customHeight="1"/>
  <cols>
    <col min="1" max="1" width="12.28515625" style="21" customWidth="1"/>
    <col min="2" max="2" width="13" style="21" customWidth="1"/>
    <col min="3" max="3" width="17.140625" style="21" customWidth="1"/>
    <col min="4" max="5" width="6.85546875" style="41" customWidth="1"/>
    <col min="6" max="19" width="11.42578125" style="21" customWidth="1"/>
    <col min="20" max="16384" width="17.140625" style="21"/>
  </cols>
  <sheetData>
    <row r="1" spans="1:19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32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41.1" customHeight="1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36">
      <c r="A4" s="22" t="s">
        <v>28</v>
      </c>
      <c r="B4" s="23" t="s">
        <v>11</v>
      </c>
      <c r="C4" s="24" t="s">
        <v>8</v>
      </c>
      <c r="D4" s="24" t="s">
        <v>25</v>
      </c>
      <c r="E4" s="24" t="s">
        <v>85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</row>
    <row r="5" spans="1:19" s="34" customFormat="1" ht="27.4" customHeight="1">
      <c r="A5" s="42">
        <v>1</v>
      </c>
      <c r="B5" s="59" t="str">
        <f>'2019 OKC Results'!C7</f>
        <v>Lois</v>
      </c>
      <c r="C5" s="59" t="str">
        <f>'2019 OKC Results'!D7</f>
        <v>BETTERIDGE</v>
      </c>
      <c r="D5" s="59" t="str">
        <f>'2019 OKC Results'!E7</f>
        <v>K1W</v>
      </c>
      <c r="E5" s="59" t="str">
        <f>'2019 OKC Results'!F7</f>
        <v>U23</v>
      </c>
      <c r="F5" s="43">
        <f>'2019 OKC Results'!G7</f>
        <v>133.91</v>
      </c>
      <c r="G5" s="30">
        <f>(F5/F$10)*100</f>
        <v>126.73670263108083</v>
      </c>
      <c r="H5" s="31">
        <f>IF((RANK(F5,F$5:F$9,1)=1),0,RANK(F5,F$5:F$9,1))</f>
        <v>0</v>
      </c>
      <c r="I5" s="43">
        <f>'2019 OKC Results'!H7</f>
        <v>119.82</v>
      </c>
      <c r="J5" s="30">
        <f>(I5/I$10)*100</f>
        <v>126.09976846979582</v>
      </c>
      <c r="K5" s="31">
        <f>IF((RANK(I5,I$5:I$9,1)=1),0,RANK(I5,I$5:I$9,1))</f>
        <v>0</v>
      </c>
      <c r="L5" s="43">
        <f>'2019 OKC Results'!I7</f>
        <v>119.59</v>
      </c>
      <c r="M5" s="30">
        <f>(L5/L$10)*100</f>
        <v>117.82266009852218</v>
      </c>
      <c r="N5" s="31">
        <f>IF((RANK(L5,L$5:L$9,1)=1),0,RANK(L5,L$5:L$9,1))</f>
        <v>0</v>
      </c>
      <c r="O5" s="43">
        <f>'2019 OKC Results'!J7</f>
        <v>135.02000000000001</v>
      </c>
      <c r="P5" s="30">
        <f>(O5/O$10)*100</f>
        <v>122.24535989135357</v>
      </c>
      <c r="Q5" s="31">
        <f>IF((RANK(O5,O$5:O$9,1)=1),0,RANK(O5,O$5:O$9,1))</f>
        <v>0</v>
      </c>
      <c r="R5" s="32">
        <f t="shared" ref="R5:S9" si="0">IF((COUNT(G5,J5,M5,P5)&gt;3),(SUM(G5,J5,M5,P5)-MAX(G5,J5,M5,P5)),SUM(G5,J5,M5,P5))</f>
        <v>366.16778845967156</v>
      </c>
      <c r="S5" s="33">
        <f t="shared" si="0"/>
        <v>0</v>
      </c>
    </row>
    <row r="6" spans="1:19" s="34" customFormat="1" ht="27.4" customHeight="1">
      <c r="A6" s="42">
        <v>2</v>
      </c>
      <c r="B6" s="59" t="str">
        <f>'2019 OKC Results'!C4</f>
        <v>Jocelyn</v>
      </c>
      <c r="C6" s="59" t="str">
        <f>'2019 OKC Results'!D4</f>
        <v>TAYLOR</v>
      </c>
      <c r="D6" s="59" t="str">
        <f>'2019 OKC Results'!E4</f>
        <v>K1W</v>
      </c>
      <c r="E6" s="59" t="str">
        <f>'2019 OKC Results'!F4</f>
        <v>J</v>
      </c>
      <c r="F6" s="43">
        <f>'2019 OKC Results'!G4</f>
        <v>141.21</v>
      </c>
      <c r="G6" s="30">
        <f>(F6/F$10)*100</f>
        <v>133.64565587734242</v>
      </c>
      <c r="H6" s="31">
        <f>IF((RANK(F6,F$5:F$9,1)=1),0,RANK(F6,F$5:F$9,1))</f>
        <v>2</v>
      </c>
      <c r="I6" s="43">
        <f>'2019 OKC Results'!H4</f>
        <v>139.96</v>
      </c>
      <c r="J6" s="30">
        <f>(I6/I$10)*100</f>
        <v>147.29530625131554</v>
      </c>
      <c r="K6" s="31">
        <f>IF((RANK(I6,I$5:I$9,1)=1),0,RANK(I6,I$5:I$9,1))</f>
        <v>2</v>
      </c>
      <c r="L6" s="43">
        <f>'2019 OKC Results'!I4</f>
        <v>217.1</v>
      </c>
      <c r="M6" s="30">
        <f>(L6/L$10)*100</f>
        <v>213.89162561576356</v>
      </c>
      <c r="N6" s="31">
        <f>IF((RANK(L6,L$5:L$9,1)=1),0,RANK(L6,L$5:L$9,1))</f>
        <v>3</v>
      </c>
      <c r="O6" s="43">
        <f>'2019 OKC Results'!J4</f>
        <v>196.35</v>
      </c>
      <c r="P6" s="30">
        <f>(O6/O$10)*100</f>
        <v>177.77274784970572</v>
      </c>
      <c r="Q6" s="31">
        <f>IF((RANK(O6,O$5:O$9,1)=1),0,RANK(O6,O$5:O$9,1))</f>
        <v>2</v>
      </c>
      <c r="R6" s="32">
        <f t="shared" si="0"/>
        <v>458.71370997836368</v>
      </c>
      <c r="S6" s="33">
        <f t="shared" si="0"/>
        <v>6</v>
      </c>
    </row>
    <row r="7" spans="1:19" s="34" customFormat="1" ht="27.4" customHeight="1">
      <c r="A7" s="42">
        <v>3</v>
      </c>
      <c r="B7" s="59" t="str">
        <f>'2019 OKC Results'!C6</f>
        <v>Lea</v>
      </c>
      <c r="C7" s="59" t="str">
        <f>'2019 OKC Results'!D6</f>
        <v>BALDONI</v>
      </c>
      <c r="D7" s="59" t="str">
        <f>'2019 OKC Results'!E6</f>
        <v>K1W</v>
      </c>
      <c r="E7" s="59" t="str">
        <f>'2019 OKC Results'!F6</f>
        <v>J</v>
      </c>
      <c r="F7" s="43">
        <f>'2019 OKC Results'!G6</f>
        <v>350.52</v>
      </c>
      <c r="G7" s="30">
        <f>(F7/F$10)*100</f>
        <v>331.74332765474162</v>
      </c>
      <c r="H7" s="31">
        <f>IF((RANK(F7,F$5:F$9,1)=1),0,RANK(F7,F$5:F$9,1))</f>
        <v>5</v>
      </c>
      <c r="I7" s="43">
        <f>'2019 OKC Results'!H6</f>
        <v>166.04</v>
      </c>
      <c r="J7" s="30">
        <f>(I7/I$10)*100</f>
        <v>174.74215954535887</v>
      </c>
      <c r="K7" s="31">
        <f>IF((RANK(I7,I$5:I$9,1)=1),0,RANK(I7,I$5:I$9,1))</f>
        <v>4</v>
      </c>
      <c r="L7" s="43">
        <f>'2019 OKC Results'!I6</f>
        <v>177.07</v>
      </c>
      <c r="M7" s="30">
        <f>(L7/L$10)*100</f>
        <v>174.45320197044333</v>
      </c>
      <c r="N7" s="31">
        <f>IF((RANK(L7,L$5:L$9,1)=1),0,RANK(L7,L$5:L$9,1))</f>
        <v>2</v>
      </c>
      <c r="O7" s="43">
        <f>'2019 OKC Results'!J6</f>
        <v>205.96</v>
      </c>
      <c r="P7" s="30">
        <f>(O7/O$10)*100</f>
        <v>186.47351742870077</v>
      </c>
      <c r="Q7" s="31">
        <f>IF((RANK(O7,O$5:O$9,1)=1),0,RANK(O7,O$5:O$9,1))</f>
        <v>3</v>
      </c>
      <c r="R7" s="32">
        <f t="shared" si="0"/>
        <v>535.66887894450292</v>
      </c>
      <c r="S7" s="33">
        <f t="shared" si="0"/>
        <v>9</v>
      </c>
    </row>
    <row r="8" spans="1:19" s="34" customFormat="1" ht="27.4" customHeight="1">
      <c r="A8" s="42">
        <v>4</v>
      </c>
      <c r="B8" s="59" t="str">
        <f>'2019 OKC Results'!C5</f>
        <v>Isabel</v>
      </c>
      <c r="C8" s="59" t="str">
        <f>'2019 OKC Results'!D5</f>
        <v>TAYLOR</v>
      </c>
      <c r="D8" s="59" t="str">
        <f>'2019 OKC Results'!E5</f>
        <v>K1W</v>
      </c>
      <c r="E8" s="59" t="str">
        <f>'2019 OKC Results'!F5</f>
        <v>J</v>
      </c>
      <c r="F8" s="43">
        <f>'2019 OKC Results'!G5</f>
        <v>207.75</v>
      </c>
      <c r="G8" s="30">
        <f>(F8/F$10)*100</f>
        <v>196.62123793299261</v>
      </c>
      <c r="H8" s="31">
        <f>IF((RANK(F8,F$5:F$9,1)=1),0,RANK(F8,F$5:F$9,1))</f>
        <v>4</v>
      </c>
      <c r="I8" s="43">
        <f>'2019 OKC Results'!H5</f>
        <v>158.26</v>
      </c>
      <c r="J8" s="30">
        <f>(I8/I$10)*100</f>
        <v>166.55440959797937</v>
      </c>
      <c r="K8" s="31">
        <f>IF((RANK(I8,I$5:I$9,1)=1),0,RANK(I8,I$5:I$9,1))</f>
        <v>3</v>
      </c>
      <c r="L8" s="43">
        <f>'2019 OKC Results'!I5</f>
        <v>383.58</v>
      </c>
      <c r="M8" s="30">
        <f>(L8/L$10)*100</f>
        <v>377.91133004926104</v>
      </c>
      <c r="N8" s="31">
        <f>IF((RANK(L8,L$5:L$9,1)=1),0,RANK(L8,L$5:L$9,1))</f>
        <v>4</v>
      </c>
      <c r="O8" s="43">
        <f>'2019 OKC Results'!J5</f>
        <v>232.87</v>
      </c>
      <c r="P8" s="30">
        <f>(O8/O$10)*100</f>
        <v>210.83748302399275</v>
      </c>
      <c r="Q8" s="31">
        <f>IF((RANK(O8,O$5:O$9,1)=1),0,RANK(O8,O$5:O$9,1))</f>
        <v>5</v>
      </c>
      <c r="R8" s="32">
        <f t="shared" si="0"/>
        <v>574.01313055496462</v>
      </c>
      <c r="S8" s="33">
        <f t="shared" si="0"/>
        <v>11</v>
      </c>
    </row>
    <row r="9" spans="1:19" s="34" customFormat="1" ht="27.4" customHeight="1">
      <c r="A9" s="42">
        <v>5</v>
      </c>
      <c r="B9" s="59" t="str">
        <f>'2019 OKC Results'!C3</f>
        <v>Olivia</v>
      </c>
      <c r="C9" s="59" t="str">
        <f>'2019 OKC Results'!D3</f>
        <v>NORMAN</v>
      </c>
      <c r="D9" s="59" t="str">
        <f>'2019 OKC Results'!E3</f>
        <v>K1W</v>
      </c>
      <c r="E9" s="59" t="str">
        <f>'2019 OKC Results'!F3</f>
        <v>J</v>
      </c>
      <c r="F9" s="43">
        <f>'2019 OKC Results'!G3</f>
        <v>195.42</v>
      </c>
      <c r="G9" s="30">
        <f>(F9/F$10)*100</f>
        <v>184.95173197047131</v>
      </c>
      <c r="H9" s="31">
        <f>IF((RANK(F9,F$5:F$9,1)=1),0,RANK(F9,F$5:F$9,1))</f>
        <v>3</v>
      </c>
      <c r="I9" s="43">
        <f>'2019 OKC Results'!H3</f>
        <v>172.22</v>
      </c>
      <c r="J9" s="30">
        <f>(I9/I$10)*100</f>
        <v>181.24605346242896</v>
      </c>
      <c r="K9" s="31">
        <f>IF((RANK(I9,I$5:I$9,1)=1),0,RANK(I9,I$5:I$9,1))</f>
        <v>5</v>
      </c>
      <c r="L9" s="43">
        <f>'2019 OKC Results'!I3</f>
        <v>427.13</v>
      </c>
      <c r="M9" s="30">
        <f>(L9/L$10)*100</f>
        <v>420.81773399014776</v>
      </c>
      <c r="N9" s="31">
        <f>IF((RANK(L9,L$5:L$9,1)=1),0,RANK(L9,L$5:L$9,1))</f>
        <v>5</v>
      </c>
      <c r="O9" s="43">
        <f>'2019 OKC Results'!J3</f>
        <v>213.86</v>
      </c>
      <c r="P9" s="30">
        <f>(O9/O$10)*100</f>
        <v>193.62607514712539</v>
      </c>
      <c r="Q9" s="31">
        <f>IF((RANK(O9,O$5:O$9,1)=1),0,RANK(O9,O$5:O$9,1))</f>
        <v>4</v>
      </c>
      <c r="R9" s="32">
        <f t="shared" si="0"/>
        <v>559.82386058002578</v>
      </c>
      <c r="S9" s="33">
        <f t="shared" si="0"/>
        <v>12</v>
      </c>
    </row>
    <row r="10" spans="1:19" s="34" customFormat="1" ht="27.4" customHeight="1">
      <c r="A10" s="35" t="s">
        <v>136</v>
      </c>
      <c r="D10" s="36"/>
      <c r="E10" s="36"/>
      <c r="F10" s="37">
        <f>'K1M (U23)'!F15</f>
        <v>105.66</v>
      </c>
      <c r="G10" s="37"/>
      <c r="H10" s="38"/>
      <c r="I10" s="37">
        <f>'K1M (U23)'!I15</f>
        <v>95.02</v>
      </c>
      <c r="J10" s="37"/>
      <c r="K10" s="38"/>
      <c r="L10" s="37">
        <f>'C1M (U23)'!L8</f>
        <v>101.5</v>
      </c>
      <c r="M10" s="37"/>
      <c r="N10" s="38"/>
      <c r="O10" s="37">
        <f>'C1M (U23)'!O8</f>
        <v>110.45</v>
      </c>
      <c r="P10" s="37"/>
      <c r="Q10" s="38"/>
      <c r="R10" s="38"/>
      <c r="S10" s="39"/>
    </row>
    <row r="11" spans="1:19" s="34" customFormat="1" ht="27.4" customHeight="1">
      <c r="A11" s="35" t="s">
        <v>58</v>
      </c>
      <c r="B11" s="40">
        <v>126</v>
      </c>
      <c r="C11" s="108" t="s">
        <v>119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19" ht="27.75" customHeight="1">
      <c r="A12" s="100" t="s">
        <v>36</v>
      </c>
      <c r="B12" s="101"/>
      <c r="C12" s="101"/>
      <c r="D12" s="101"/>
      <c r="E12" s="101"/>
      <c r="F12" s="102"/>
      <c r="G12" s="102"/>
      <c r="H12" s="103"/>
      <c r="I12" s="102"/>
      <c r="J12" s="102"/>
      <c r="K12" s="103"/>
      <c r="L12" s="102"/>
      <c r="M12" s="102"/>
      <c r="N12" s="103"/>
      <c r="O12" s="102"/>
      <c r="P12" s="102"/>
      <c r="Q12" s="103"/>
      <c r="R12" s="103"/>
      <c r="S12" s="104"/>
    </row>
  </sheetData>
  <mergeCells count="5">
    <mergeCell ref="A1:S1"/>
    <mergeCell ref="A2:S2"/>
    <mergeCell ref="A3:S3"/>
    <mergeCell ref="A12:S12"/>
    <mergeCell ref="C11:S11"/>
  </mergeCells>
  <conditionalFormatting sqref="G5:G9">
    <cfRule type="cellIs" dxfId="241" priority="7" operator="lessThan">
      <formula>$B$11</formula>
    </cfRule>
    <cfRule type="cellIs" dxfId="240" priority="11" operator="lessThan">
      <formula>$B$11</formula>
    </cfRule>
  </conditionalFormatting>
  <conditionalFormatting sqref="J5:J9">
    <cfRule type="cellIs" dxfId="239" priority="10" operator="lessThan">
      <formula>$B$11</formula>
    </cfRule>
  </conditionalFormatting>
  <conditionalFormatting sqref="M5:M9">
    <cfRule type="cellIs" dxfId="238" priority="9" operator="lessThan">
      <formula>$B$11</formula>
    </cfRule>
  </conditionalFormatting>
  <conditionalFormatting sqref="P5:P9">
    <cfRule type="cellIs" dxfId="237" priority="8" operator="lessThan">
      <formula>$B$11</formula>
    </cfRule>
  </conditionalFormatting>
  <conditionalFormatting sqref="J5:J9">
    <cfRule type="cellIs" dxfId="236" priority="5" operator="lessThan">
      <formula>$B$11</formula>
    </cfRule>
    <cfRule type="cellIs" dxfId="235" priority="6" operator="lessThan">
      <formula>$B$11</formula>
    </cfRule>
  </conditionalFormatting>
  <conditionalFormatting sqref="M5:M9">
    <cfRule type="cellIs" dxfId="234" priority="3" operator="lessThan">
      <formula>$B$11</formula>
    </cfRule>
    <cfRule type="cellIs" dxfId="233" priority="4" operator="lessThan">
      <formula>$B$11</formula>
    </cfRule>
  </conditionalFormatting>
  <conditionalFormatting sqref="P5:P9">
    <cfRule type="cellIs" dxfId="232" priority="1" operator="lessThan">
      <formula>$B$11</formula>
    </cfRule>
    <cfRule type="cellIs" dxfId="231" priority="2" operator="lessThan">
      <formula>$B$11</formula>
    </cfRule>
  </conditionalFormatting>
  <conditionalFormatting sqref="G5:G9 J5:J9 M5:M9 P5:P9">
    <cfRule type="cellIs" dxfId="230" priority="541" stopIfTrue="1" operator="lessThan">
      <formula>#REF!</formula>
    </cfRule>
  </conditionalFormatting>
  <pageMargins left="0.75" right="0.75" top="1" bottom="1" header="0.5" footer="0.5"/>
  <pageSetup paperSize="9" scale="61" orientation="landscape" verticalDpi="300" r:id="rId1"/>
  <headerFooter alignWithMargins="0">
    <oddHeader xml:space="preserve">&amp;C&amp;"Cubano,Regular"&amp;16
</oddHead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1"/>
  <sheetViews>
    <sheetView zoomScale="70" zoomScaleNormal="70" workbookViewId="0">
      <selection activeCell="A4" sqref="A4:S4"/>
    </sheetView>
  </sheetViews>
  <sheetFormatPr defaultColWidth="17.140625" defaultRowHeight="12.75" customHeight="1"/>
  <cols>
    <col min="1" max="1" width="12.28515625" style="21" customWidth="1"/>
    <col min="2" max="2" width="13" style="21" customWidth="1"/>
    <col min="3" max="3" width="17.140625" style="21" customWidth="1"/>
    <col min="4" max="4" width="6.85546875" style="41" customWidth="1"/>
    <col min="5" max="18" width="11.42578125" style="21" customWidth="1"/>
    <col min="19" max="16384" width="17.140625" style="21"/>
  </cols>
  <sheetData>
    <row r="1" spans="1:19" ht="36.950000000000003" customHeight="1">
      <c r="A1" s="110" t="str">
        <f>K1M!A1</f>
        <v>canoe kayak canada 2019 team trials ranking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9" ht="132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9" ht="41.1" customHeight="1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9" ht="36">
      <c r="A4" s="22" t="s">
        <v>28</v>
      </c>
      <c r="B4" s="23" t="s">
        <v>11</v>
      </c>
      <c r="C4" s="24" t="s">
        <v>8</v>
      </c>
      <c r="D4" s="24" t="s">
        <v>25</v>
      </c>
      <c r="E4" s="24" t="s">
        <v>85</v>
      </c>
      <c r="F4" s="25" t="s">
        <v>3</v>
      </c>
      <c r="G4" s="25" t="s">
        <v>17</v>
      </c>
      <c r="H4" s="26" t="s">
        <v>21</v>
      </c>
      <c r="I4" s="25" t="s">
        <v>7</v>
      </c>
      <c r="J4" s="25" t="s">
        <v>18</v>
      </c>
      <c r="K4" s="26" t="s">
        <v>22</v>
      </c>
      <c r="L4" s="25" t="s">
        <v>4</v>
      </c>
      <c r="M4" s="25" t="s">
        <v>19</v>
      </c>
      <c r="N4" s="26" t="s">
        <v>23</v>
      </c>
      <c r="O4" s="25" t="s">
        <v>6</v>
      </c>
      <c r="P4" s="25" t="s">
        <v>20</v>
      </c>
      <c r="Q4" s="26" t="s">
        <v>24</v>
      </c>
      <c r="R4" s="26" t="s">
        <v>27</v>
      </c>
      <c r="S4" s="27" t="s">
        <v>26</v>
      </c>
    </row>
    <row r="5" spans="1:19" s="34" customFormat="1" ht="27.4" customHeight="1">
      <c r="A5" s="42">
        <v>1</v>
      </c>
      <c r="B5" s="59" t="str">
        <f>'2019 OKC Results'!C4</f>
        <v>Jocelyn</v>
      </c>
      <c r="C5" s="59" t="str">
        <f>'2019 OKC Results'!D4</f>
        <v>TAYLOR</v>
      </c>
      <c r="D5" s="59" t="str">
        <f>'2019 OKC Results'!E4</f>
        <v>K1W</v>
      </c>
      <c r="E5" s="59" t="str">
        <f>'2019 OKC Results'!F4</f>
        <v>J</v>
      </c>
      <c r="F5" s="43">
        <f>'2019 OKC Results'!G4</f>
        <v>141.21</v>
      </c>
      <c r="G5" s="32">
        <f>(F5/F$9)*100</f>
        <v>127.60708476414241</v>
      </c>
      <c r="H5" s="31">
        <f>IF((RANK(F5,F$5:F$8,1)=1),0,RANK(F5,F$5:F$8,1))</f>
        <v>0</v>
      </c>
      <c r="I5" s="43">
        <f>'2019 OKC Results'!H4</f>
        <v>139.96</v>
      </c>
      <c r="J5" s="30">
        <f>(I5/I$9)*100</f>
        <v>138.71159563924678</v>
      </c>
      <c r="K5" s="31">
        <f>IF((RANK(I5,I$5:I$8,1)=1),0,RANK(I5,I$5:I$8,1))</f>
        <v>0</v>
      </c>
      <c r="L5" s="43">
        <f>'2019 OKC Results'!I4</f>
        <v>217.1</v>
      </c>
      <c r="M5" s="30">
        <f>(L5/L$9)*100</f>
        <v>178.49214831867138</v>
      </c>
      <c r="N5" s="31">
        <f>IF((RANK(L5,L$5:L$8,1)=1),0,RANK(L5,L$5:L$8,1))</f>
        <v>2</v>
      </c>
      <c r="O5" s="43">
        <f>'2019 OKC Results'!J4</f>
        <v>196.35</v>
      </c>
      <c r="P5" s="30">
        <f>(O5/O$9)*100</f>
        <v>171.92014709745206</v>
      </c>
      <c r="Q5" s="31">
        <f>IF((RANK(O5,O$5:O$8,1)=1),0,RANK(O5,O$5:O$8,1))</f>
        <v>0</v>
      </c>
      <c r="R5" s="32">
        <f t="shared" ref="R5:S8" si="0">IF((COUNT(G5,J5,M5,P5)&gt;3),(SUM(G5,J5,M5,P5)-MAX(G5,J5,M5,P5)),SUM(G5,J5,M5,P5))</f>
        <v>438.23882750084124</v>
      </c>
      <c r="S5" s="33">
        <f t="shared" si="0"/>
        <v>0</v>
      </c>
    </row>
    <row r="6" spans="1:19" s="34" customFormat="1" ht="27.4" customHeight="1">
      <c r="A6" s="42">
        <v>2</v>
      </c>
      <c r="B6" s="59" t="str">
        <f>'2019 OKC Results'!C6</f>
        <v>Lea</v>
      </c>
      <c r="C6" s="59" t="str">
        <f>'2019 OKC Results'!D6</f>
        <v>BALDONI</v>
      </c>
      <c r="D6" s="59" t="str">
        <f>'2019 OKC Results'!E6</f>
        <v>K1W</v>
      </c>
      <c r="E6" s="59" t="str">
        <f>'2019 OKC Results'!F6</f>
        <v>J</v>
      </c>
      <c r="F6" s="43">
        <f>'2019 OKC Results'!G6</f>
        <v>350.52</v>
      </c>
      <c r="G6" s="30">
        <f>(F6/F$9)*100</f>
        <v>316.75402132658593</v>
      </c>
      <c r="H6" s="31">
        <f>IF((RANK(F6,F$5:F$8,1)=1),0,RANK(F6,F$5:F$8,1))</f>
        <v>4</v>
      </c>
      <c r="I6" s="43">
        <f>'2019 OKC Results'!H6</f>
        <v>166.04</v>
      </c>
      <c r="J6" s="30">
        <f t="shared" ref="J5:J8" si="1">(I6/I$9)*100</f>
        <v>164.55896927651139</v>
      </c>
      <c r="K6" s="31">
        <f>IF((RANK(I6,I$5:I$8,1)=1),0,RANK(I6,I$5:I$8,1))</f>
        <v>3</v>
      </c>
      <c r="L6" s="43">
        <f>'2019 OKC Results'!I6</f>
        <v>177.07</v>
      </c>
      <c r="M6" s="30">
        <f t="shared" ref="M5:M8" si="2">(L6/L$9)*100</f>
        <v>145.58085998520102</v>
      </c>
      <c r="N6" s="31">
        <f>IF((RANK(L6,L$5:L$8,1)=1),0,RANK(L6,L$5:L$8,1))</f>
        <v>0</v>
      </c>
      <c r="O6" s="43">
        <f>'2019 OKC Results'!J6</f>
        <v>205.96</v>
      </c>
      <c r="P6" s="30">
        <f t="shared" ref="P5:P8" si="3">(O6/O$9)*100</f>
        <v>180.33447158742669</v>
      </c>
      <c r="Q6" s="31">
        <f>IF((RANK(O6,O$5:O$8,1)=1),0,RANK(O6,O$5:O$8,1))</f>
        <v>2</v>
      </c>
      <c r="R6" s="32">
        <f t="shared" si="0"/>
        <v>490.47430084913918</v>
      </c>
      <c r="S6" s="33">
        <f t="shared" si="0"/>
        <v>5</v>
      </c>
    </row>
    <row r="7" spans="1:19" s="34" customFormat="1" ht="27.4" customHeight="1">
      <c r="A7" s="42">
        <v>3</v>
      </c>
      <c r="B7" s="59" t="str">
        <f>'2019 OKC Results'!C5</f>
        <v>Isabel</v>
      </c>
      <c r="C7" s="59" t="str">
        <f>'2019 OKC Results'!D5</f>
        <v>TAYLOR</v>
      </c>
      <c r="D7" s="59" t="str">
        <f>'2019 OKC Results'!E5</f>
        <v>K1W</v>
      </c>
      <c r="E7" s="59" t="str">
        <f>'2019 OKC Results'!F5</f>
        <v>J</v>
      </c>
      <c r="F7" s="43">
        <f>'2019 OKC Results'!G5</f>
        <v>207.75</v>
      </c>
      <c r="G7" s="30">
        <f>(F7/F$9)*100</f>
        <v>187.7372130851256</v>
      </c>
      <c r="H7" s="31">
        <f>IF((RANK(F7,F$5:F$8,1)=1),0,RANK(F7,F$5:F$8,1))</f>
        <v>3</v>
      </c>
      <c r="I7" s="43">
        <f>'2019 OKC Results'!H5</f>
        <v>158.26</v>
      </c>
      <c r="J7" s="30">
        <f t="shared" si="1"/>
        <v>156.8483647175421</v>
      </c>
      <c r="K7" s="31">
        <f>IF((RANK(I7,I$5:I$8,1)=1),0,RANK(I7,I$5:I$8,1))</f>
        <v>2</v>
      </c>
      <c r="L7" s="43">
        <f>'2019 OKC Results'!I5</f>
        <v>383.58</v>
      </c>
      <c r="M7" s="30">
        <f t="shared" si="2"/>
        <v>315.36627476773822</v>
      </c>
      <c r="N7" s="31">
        <f>IF((RANK(L7,L$5:L$8,1)=1),0,RANK(L7,L$5:L$8,1))</f>
        <v>3</v>
      </c>
      <c r="O7" s="43">
        <f>'2019 OKC Results'!J5</f>
        <v>232.87</v>
      </c>
      <c r="P7" s="30">
        <f t="shared" si="3"/>
        <v>203.89633131949921</v>
      </c>
      <c r="Q7" s="31">
        <f>IF((RANK(O7,O$5:O$8,1)=1),0,RANK(O7,O$5:O$8,1))</f>
        <v>4</v>
      </c>
      <c r="R7" s="32">
        <f t="shared" si="0"/>
        <v>548.48190912216694</v>
      </c>
      <c r="S7" s="33">
        <f t="shared" si="0"/>
        <v>8</v>
      </c>
    </row>
    <row r="8" spans="1:19" s="34" customFormat="1" ht="27.4" customHeight="1">
      <c r="A8" s="42">
        <v>4</v>
      </c>
      <c r="B8" s="59" t="str">
        <f>'2019 OKC Results'!C3</f>
        <v>Olivia</v>
      </c>
      <c r="C8" s="59" t="str">
        <f>'2019 OKC Results'!D3</f>
        <v>NORMAN</v>
      </c>
      <c r="D8" s="59" t="str">
        <f>'2019 OKC Results'!E3</f>
        <v>K1W</v>
      </c>
      <c r="E8" s="59" t="str">
        <f>'2019 OKC Results'!F3</f>
        <v>J</v>
      </c>
      <c r="F8" s="43">
        <f>'2019 OKC Results'!G3</f>
        <v>195.42</v>
      </c>
      <c r="G8" s="30">
        <f>(F8/F$9)*100</f>
        <v>176.59497560093982</v>
      </c>
      <c r="H8" s="31">
        <f>IF((RANK(F8,F$5:F$8,1)=1),0,RANK(F8,F$5:F$8,1))</f>
        <v>2</v>
      </c>
      <c r="I8" s="43">
        <f>'2019 OKC Results'!H3</f>
        <v>172.22</v>
      </c>
      <c r="J8" s="30">
        <f t="shared" si="1"/>
        <v>170.68384539147669</v>
      </c>
      <c r="K8" s="31">
        <f>IF((RANK(I8,I$5:I$8,1)=1),0,RANK(I8,I$5:I$8,1))</f>
        <v>4</v>
      </c>
      <c r="L8" s="43">
        <f>'2019 OKC Results'!I3</f>
        <v>427.13</v>
      </c>
      <c r="M8" s="30">
        <f t="shared" si="2"/>
        <v>351.17158595741182</v>
      </c>
      <c r="N8" s="31">
        <f>IF((RANK(L8,L$5:L$8,1)=1),0,RANK(L8,L$5:L$8,1))</f>
        <v>4</v>
      </c>
      <c r="O8" s="43">
        <f>'2019 OKC Results'!J3</f>
        <v>213.86</v>
      </c>
      <c r="P8" s="30">
        <f t="shared" si="3"/>
        <v>187.25155415462746</v>
      </c>
      <c r="Q8" s="31">
        <f>IF((RANK(O8,O$5:O$8,1)=1),0,RANK(O8,O$5:O$8,1))</f>
        <v>3</v>
      </c>
      <c r="R8" s="32">
        <f t="shared" si="0"/>
        <v>534.53037514704397</v>
      </c>
      <c r="S8" s="33">
        <f t="shared" si="0"/>
        <v>9</v>
      </c>
    </row>
    <row r="9" spans="1:19" s="34" customFormat="1" ht="27.4" customHeight="1">
      <c r="A9" s="35" t="s">
        <v>136</v>
      </c>
      <c r="D9" s="36"/>
      <c r="F9" s="37">
        <f>'K1M (JR)'!F12</f>
        <v>110.66</v>
      </c>
      <c r="G9" s="37"/>
      <c r="H9" s="38"/>
      <c r="I9" s="37">
        <f>'K1M (JR)'!I12</f>
        <v>100.9</v>
      </c>
      <c r="J9" s="37"/>
      <c r="K9" s="38"/>
      <c r="L9" s="37">
        <f>'K1M (JR)'!L12</f>
        <v>121.63</v>
      </c>
      <c r="M9" s="37"/>
      <c r="N9" s="38"/>
      <c r="O9" s="37">
        <f>'K1M (JR)'!O12</f>
        <v>114.21</v>
      </c>
      <c r="P9" s="38"/>
      <c r="Q9" s="38"/>
      <c r="R9" s="39"/>
    </row>
    <row r="10" spans="1:19" ht="19.5" customHeight="1">
      <c r="A10" s="35" t="s">
        <v>59</v>
      </c>
      <c r="B10" s="63">
        <v>131</v>
      </c>
      <c r="C10" s="108" t="s">
        <v>118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ht="33" customHeight="1">
      <c r="A11" s="100" t="s">
        <v>36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4"/>
    </row>
  </sheetData>
  <mergeCells count="5">
    <mergeCell ref="A1:R1"/>
    <mergeCell ref="A2:R2"/>
    <mergeCell ref="A3:R3"/>
    <mergeCell ref="C10:S10"/>
    <mergeCell ref="A11:S11"/>
  </mergeCells>
  <conditionalFormatting sqref="G5">
    <cfRule type="cellIs" dxfId="205" priority="1" operator="lessThan">
      <formula>$B$10</formula>
    </cfRule>
  </conditionalFormatting>
  <pageMargins left="0.75" right="0.75" top="1" bottom="1" header="0.5" footer="0.5"/>
  <pageSetup paperSize="9" scale="63" orientation="landscape" verticalDpi="300" r:id="rId1"/>
  <headerFooter alignWithMargins="0">
    <oddHeader xml:space="preserve">&amp;C&amp;"Cubano,Regular"&amp;16
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1A7BC228AF9F4BA27E2026B7C950FF" ma:contentTypeVersion="10" ma:contentTypeDescription="Create a new document." ma:contentTypeScope="" ma:versionID="e5a7e932407789100a44d733854769c2">
  <xsd:schema xmlns:xsd="http://www.w3.org/2001/XMLSchema" xmlns:xs="http://www.w3.org/2001/XMLSchema" xmlns:p="http://schemas.microsoft.com/office/2006/metadata/properties" xmlns:ns2="51910d1e-d27e-41a6-8b73-ea77d0ee3e01" xmlns:ns3="425c70e4-3875-46ab-9c5f-aa4b58ac28e6" targetNamespace="http://schemas.microsoft.com/office/2006/metadata/properties" ma:root="true" ma:fieldsID="d3a19b1184a0027882322d69063f34fa" ns2:_="" ns3:_="">
    <xsd:import namespace="51910d1e-d27e-41a6-8b73-ea77d0ee3e01"/>
    <xsd:import namespace="425c70e4-3875-46ab-9c5f-aa4b58ac28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10d1e-d27e-41a6-8b73-ea77d0ee3e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c70e4-3875-46ab-9c5f-aa4b58ac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FE924B-3749-4D42-B2A9-1C8D95394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910d1e-d27e-41a6-8b73-ea77d0ee3e01"/>
    <ds:schemaRef ds:uri="425c70e4-3875-46ab-9c5f-aa4b58ac2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40CD19-0E0A-4817-AD29-06F6DFC1FF0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25c70e4-3875-46ab-9c5f-aa4b58ac28e6"/>
    <ds:schemaRef ds:uri="51910d1e-d27e-41a6-8b73-ea77d0ee3e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0C25D6-85A0-494E-B312-F8EB098158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2019 OKC Results</vt:lpstr>
      <vt:lpstr>2018 Kananaskis PB</vt:lpstr>
      <vt:lpstr>2019 Slalom Team</vt:lpstr>
      <vt:lpstr>K1M</vt:lpstr>
      <vt:lpstr>K1M (U23)</vt:lpstr>
      <vt:lpstr>K1M (JR)</vt:lpstr>
      <vt:lpstr>K1W</vt:lpstr>
      <vt:lpstr>K1W (U23)</vt:lpstr>
      <vt:lpstr>K1W (JR)</vt:lpstr>
      <vt:lpstr>C1M</vt:lpstr>
      <vt:lpstr>C1M (U23)</vt:lpstr>
      <vt:lpstr>C1M (JR)</vt:lpstr>
      <vt:lpstr>C1W</vt:lpstr>
      <vt:lpstr>C1W (U23)</vt:lpstr>
      <vt:lpstr>Sheet1</vt:lpstr>
      <vt:lpstr>C2</vt:lpstr>
      <vt:lpstr>C2 (U23)</vt:lpstr>
      <vt:lpstr>'2019 OKC Results'!Print_Area</vt:lpstr>
      <vt:lpstr>'2019 Slalom Team'!Print_Area</vt:lpstr>
      <vt:lpstr>'C1M'!Print_Area</vt:lpstr>
      <vt:lpstr>'C1M (JR)'!Print_Area</vt:lpstr>
      <vt:lpstr>'C1M (U23)'!Print_Area</vt:lpstr>
      <vt:lpstr>'C1W'!Print_Area</vt:lpstr>
      <vt:lpstr>'C1W (U23)'!Print_Area</vt:lpstr>
      <vt:lpstr>'C2'!Print_Area</vt:lpstr>
      <vt:lpstr>'C2 (U23)'!Print_Area</vt:lpstr>
      <vt:lpstr>K1M!Print_Area</vt:lpstr>
      <vt:lpstr>'K1M (JR)'!Print_Area</vt:lpstr>
      <vt:lpstr>'K1M (U23)'!Print_Area</vt:lpstr>
      <vt:lpstr>K1W!Print_Area</vt:lpstr>
      <vt:lpstr>'K1W (JR)'!Print_Area</vt:lpstr>
      <vt:lpstr>'K1W (U23)'!Print_Area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Cartwright</dc:creator>
  <cp:lastModifiedBy>James Cartwright</cp:lastModifiedBy>
  <cp:lastPrinted>2018-05-14T18:20:03Z</cp:lastPrinted>
  <dcterms:created xsi:type="dcterms:W3CDTF">2012-05-23T17:55:32Z</dcterms:created>
  <dcterms:modified xsi:type="dcterms:W3CDTF">2019-04-17T14:14:12Z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0x010100191A7BC228AF9F4BA27E2026B7C950FF</vt:lpwstr>
  </property>
  <property fmtid="{D5CDD505-2E9C-101B-9397-08002B2CF9AE}" pid="3" name="WorkbookGuid">
    <vt:lpwstr>073c3259-6a8f-4915-9426-22e7ca17e342</vt:lpwstr>
  </property>
  <property fmtid="{D5CDD505-2E9C-101B-9397-08002B2CF9AE}" pid="4" name="AuthorIds_UIVersion_3072">
    <vt:lpwstr>6</vt:lpwstr>
  </property>
</Properties>
</file>